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155" windowHeight="12840" activeTab="0"/>
  </bookViews>
  <sheets>
    <sheet name="Baccarat" sheetId="1" r:id="rId1"/>
  </sheets>
  <definedNames/>
  <calcPr calcMode="manual" fullCalcOnLoad="1"/>
</workbook>
</file>

<file path=xl/sharedStrings.xml><?xml version="1.0" encoding="utf-8"?>
<sst xmlns="http://schemas.openxmlformats.org/spreadsheetml/2006/main" count="124" uniqueCount="46">
  <si>
    <t>Number</t>
  </si>
  <si>
    <t>Card</t>
  </si>
  <si>
    <t>«</t>
  </si>
  <si>
    <t>¨</t>
  </si>
  <si>
    <t>ª</t>
  </si>
  <si>
    <t>©</t>
  </si>
  <si>
    <t>Values</t>
  </si>
  <si>
    <t>Suit Selection =</t>
  </si>
  <si>
    <t>Card Selection =</t>
  </si>
  <si>
    <t>Ace</t>
  </si>
  <si>
    <t>Jack</t>
  </si>
  <si>
    <t>Queen</t>
  </si>
  <si>
    <t>King</t>
  </si>
  <si>
    <t>SECOND  CARD</t>
  </si>
  <si>
    <t>THIRD  CARD IF REQUESTED</t>
  </si>
  <si>
    <t>1st Card</t>
  </si>
  <si>
    <t>2nd Card</t>
  </si>
  <si>
    <t>3rd Card</t>
  </si>
  <si>
    <t>Player</t>
  </si>
  <si>
    <t>PLAYER  FIRST  CARD</t>
  </si>
  <si>
    <t>THE  GAME  DECK(S)</t>
  </si>
  <si>
    <t>Bank</t>
  </si>
  <si>
    <t>PLAYER</t>
  </si>
  <si>
    <t>BANK</t>
  </si>
  <si>
    <t>RESULT</t>
  </si>
  <si>
    <t>Baccarat Bank</t>
  </si>
  <si>
    <t>Win</t>
  </si>
  <si>
    <t/>
  </si>
  <si>
    <t>Baccarat</t>
  </si>
  <si>
    <t>BANK  FIRST  CARD</t>
  </si>
  <si>
    <t>Fibonacci Bet Series</t>
  </si>
  <si>
    <t>BET</t>
  </si>
  <si>
    <t>HAND $</t>
  </si>
  <si>
    <t>TOTAL $</t>
  </si>
  <si>
    <t>QUIT if LOSE at</t>
  </si>
  <si>
    <t>QUIT if 29 AHEAD =</t>
  </si>
  <si>
    <t>TIES ARE IGNORED</t>
  </si>
  <si>
    <t>Help</t>
  </si>
  <si>
    <t>Calc</t>
  </si>
  <si>
    <t>45-HAND BETTING STRATEGY</t>
  </si>
  <si>
    <t>FIREBALL   BACCARAT</t>
  </si>
  <si>
    <t>Totals =</t>
  </si>
  <si>
    <t>BANK FEE =</t>
  </si>
  <si>
    <t>Wins</t>
  </si>
  <si>
    <t>BET UNIT =</t>
  </si>
  <si>
    <t>Adjustments &amp; Guidlines =&gt;&gt;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</si>
</sst>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&quot;%&quot;"/>
    <numFmt numFmtId="172" formatCode="0.0&quot;       &quot;"/>
    <numFmt numFmtId="173" formatCode="0.0&quot;    &quot;"/>
    <numFmt numFmtId="174" formatCode="0&quot;    &quot;"/>
    <numFmt numFmtId="175" formatCode="0.000E+00"/>
    <numFmt numFmtId="176" formatCode="0.0E+00"/>
    <numFmt numFmtId="177" formatCode="0E+00"/>
    <numFmt numFmtId="178" formatCode="0&quot;units&quot;"/>
    <numFmt numFmtId="179" formatCode="0&quot; units&quot;"/>
    <numFmt numFmtId="180" formatCode="0&quot; %/win&quot;"/>
    <numFmt numFmtId="181" formatCode="0&quot;%/win&quot;"/>
    <numFmt numFmtId="182" formatCode="0&quot;% per win&quot;"/>
    <numFmt numFmtId="183" formatCode="0&quot; %&quot;"/>
    <numFmt numFmtId="184" formatCode="0.0&quot; %&quot;"/>
    <numFmt numFmtId="185" formatCode="0.0&quot; % Black&quot;"/>
    <numFmt numFmtId="186" formatCode="&quot;Red &quot;0.0&quot; %&quot;"/>
    <numFmt numFmtId="187" formatCode="0.0&quot; %  Black&quot;"/>
    <numFmt numFmtId="188" formatCode="&quot;Red  &quot;0.0&quot; %&quot;"/>
    <numFmt numFmtId="189" formatCode="mmmm\ d\,\ yyyy"/>
    <numFmt numFmtId="190" formatCode="&quot;Roulette Page &quot;0"/>
    <numFmt numFmtId="191" formatCode="&quot;House  &quot;0.0&quot; %&quot;"/>
    <numFmt numFmtId="192" formatCode="&quot;Page &quot;0"/>
    <numFmt numFmtId="193" formatCode="&quot;- - -  PAGE &quot;\ \ 0&quot; - - -&quot;"/>
    <numFmt numFmtId="194" formatCode="&quot;PAGE &quot;0"/>
    <numFmt numFmtId="195" formatCode="&quot;$&quot;0.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ZDingbats"/>
      <family val="0"/>
    </font>
    <font>
      <sz val="24"/>
      <name val="ZDingbats"/>
      <family val="0"/>
    </font>
    <font>
      <sz val="28"/>
      <name val="ZDingbats"/>
      <family val="0"/>
    </font>
    <font>
      <sz val="26"/>
      <color indexed="10"/>
      <name val="ZDingbats"/>
      <family val="0"/>
    </font>
    <font>
      <sz val="24"/>
      <color indexed="10"/>
      <name val="ZDingbats"/>
      <family val="0"/>
    </font>
    <font>
      <sz val="24"/>
      <color indexed="10"/>
      <name val="Arial"/>
      <family val="0"/>
    </font>
    <font>
      <b/>
      <sz val="20"/>
      <color indexed="12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26"/>
      <color indexed="17"/>
      <name val="Arial"/>
      <family val="2"/>
    </font>
    <font>
      <sz val="10"/>
      <color indexed="17"/>
      <name val="Arial"/>
      <family val="2"/>
    </font>
    <font>
      <sz val="28"/>
      <color indexed="48"/>
      <name val="Arial"/>
      <family val="2"/>
    </font>
    <font>
      <sz val="10"/>
      <color indexed="9"/>
      <name val="Arial"/>
      <family val="2"/>
    </font>
    <font>
      <b/>
      <sz val="48"/>
      <color indexed="42"/>
      <name val="@Arial Unicode MS"/>
      <family val="2"/>
    </font>
    <font>
      <b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sz val="22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8"/>
      <color indexed="8"/>
      <name val="Arial"/>
      <family val="2"/>
    </font>
    <font>
      <b/>
      <sz val="26"/>
      <color indexed="10"/>
      <name val="Arial"/>
      <family val="2"/>
    </font>
    <font>
      <sz val="24"/>
      <color indexed="9"/>
      <name val="Arial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u val="single"/>
      <sz val="10"/>
      <color indexed="11"/>
      <name val="Arial"/>
      <family val="2"/>
    </font>
    <font>
      <u val="single"/>
      <sz val="10"/>
      <color indexed="13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u val="single"/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u val="single"/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23"/>
      <name val="Arial"/>
      <family val="2"/>
    </font>
    <font>
      <b/>
      <sz val="12"/>
      <color indexed="11"/>
      <name val="Bookman Old Style"/>
      <family val="1"/>
    </font>
    <font>
      <b/>
      <sz val="12"/>
      <name val="Bookman Old Style"/>
      <family val="1"/>
    </font>
    <font>
      <sz val="10"/>
      <color indexed="42"/>
      <name val="Arial"/>
      <family val="2"/>
    </font>
    <font>
      <u val="single"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51"/>
      </patternFill>
    </fill>
  </fills>
  <borders count="9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dashDot">
        <color indexed="23"/>
      </bottom>
    </border>
    <border>
      <left style="thin">
        <color indexed="13"/>
      </left>
      <right style="thin">
        <color indexed="13"/>
      </right>
      <top>
        <color indexed="63"/>
      </top>
      <bottom style="dashDot">
        <color indexed="23"/>
      </bottom>
    </border>
    <border>
      <left style="thin">
        <color indexed="13"/>
      </left>
      <right style="thin">
        <color indexed="13"/>
      </right>
      <top style="dashDot">
        <color indexed="2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 style="dashDot">
        <color indexed="2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22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Continuous"/>
      <protection hidden="1"/>
    </xf>
    <xf numFmtId="0" fontId="30" fillId="2" borderId="4" xfId="0" applyFont="1" applyFill="1" applyBorder="1" applyAlignment="1" applyProtection="1">
      <alignment horizontal="centerContinuous"/>
      <protection hidden="1"/>
    </xf>
    <xf numFmtId="0" fontId="0" fillId="2" borderId="5" xfId="0" applyFont="1" applyFill="1" applyBorder="1" applyAlignment="1" applyProtection="1">
      <alignment horizontal="centerContinuous"/>
      <protection hidden="1"/>
    </xf>
    <xf numFmtId="0" fontId="30" fillId="2" borderId="6" xfId="0" applyFont="1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0" fillId="2" borderId="8" xfId="0" applyFill="1" applyBorder="1" applyAlignment="1" applyProtection="1">
      <alignment horizontal="centerContinuous"/>
      <protection hidden="1"/>
    </xf>
    <xf numFmtId="0" fontId="30" fillId="2" borderId="9" xfId="0" applyFont="1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11" xfId="0" applyFill="1" applyBorder="1" applyAlignment="1" applyProtection="1">
      <alignment horizontal="centerContinuous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39" fillId="2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/>
      <protection hidden="1"/>
    </xf>
    <xf numFmtId="0" fontId="40" fillId="2" borderId="0" xfId="0" applyFont="1" applyFill="1" applyAlignment="1" applyProtection="1">
      <alignment horizontal="center"/>
      <protection hidden="1"/>
    </xf>
    <xf numFmtId="0" fontId="34" fillId="2" borderId="14" xfId="0" applyFont="1" applyFill="1" applyBorder="1" applyAlignment="1" applyProtection="1">
      <alignment horizontal="center"/>
      <protection hidden="1"/>
    </xf>
    <xf numFmtId="0" fontId="35" fillId="2" borderId="15" xfId="0" applyFont="1" applyFill="1" applyBorder="1" applyAlignment="1" applyProtection="1">
      <alignment horizontal="center"/>
      <protection hidden="1"/>
    </xf>
    <xf numFmtId="0" fontId="34" fillId="2" borderId="16" xfId="0" applyFont="1" applyFill="1" applyBorder="1" applyAlignment="1" applyProtection="1">
      <alignment horizontal="center"/>
      <protection hidden="1"/>
    </xf>
    <xf numFmtId="0" fontId="34" fillId="2" borderId="0" xfId="0" applyFont="1" applyFill="1" applyBorder="1" applyAlignment="1" applyProtection="1">
      <alignment horizontal="center"/>
      <protection hidden="1"/>
    </xf>
    <xf numFmtId="0" fontId="34" fillId="2" borderId="17" xfId="0" applyFont="1" applyFill="1" applyBorder="1" applyAlignment="1" applyProtection="1">
      <alignment horizontal="center"/>
      <protection hidden="1"/>
    </xf>
    <xf numFmtId="0" fontId="35" fillId="2" borderId="18" xfId="0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0" fontId="35" fillId="2" borderId="19" xfId="0" applyFont="1" applyFill="1" applyBorder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alignment horizontal="center"/>
      <protection hidden="1"/>
    </xf>
    <xf numFmtId="0" fontId="45" fillId="2" borderId="0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41" fillId="2" borderId="0" xfId="0" applyFont="1" applyFill="1" applyAlignment="1" applyProtection="1">
      <alignment horizontal="center"/>
      <protection hidden="1"/>
    </xf>
    <xf numFmtId="0" fontId="43" fillId="2" borderId="0" xfId="0" applyFont="1" applyFill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3" fontId="25" fillId="2" borderId="20" xfId="0" applyNumberFormat="1" applyFont="1" applyFill="1" applyBorder="1" applyAlignment="1" applyProtection="1">
      <alignment horizontal="center"/>
      <protection hidden="1"/>
    </xf>
    <xf numFmtId="1" fontId="15" fillId="2" borderId="0" xfId="0" applyNumberFormat="1" applyFont="1" applyFill="1" applyAlignment="1" applyProtection="1">
      <alignment horizontal="center"/>
      <protection hidden="1"/>
    </xf>
    <xf numFmtId="3" fontId="31" fillId="2" borderId="21" xfId="0" applyNumberFormat="1" applyFont="1" applyFill="1" applyBorder="1" applyAlignment="1" applyProtection="1">
      <alignment horizontal="center"/>
      <protection hidden="1"/>
    </xf>
    <xf numFmtId="3" fontId="31" fillId="2" borderId="19" xfId="0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2" fillId="2" borderId="0" xfId="0" applyFont="1" applyFill="1" applyAlignment="1" applyProtection="1">
      <alignment horizontal="center"/>
      <protection hidden="1"/>
    </xf>
    <xf numFmtId="0" fontId="44" fillId="2" borderId="0" xfId="0" applyFont="1" applyFill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32" fillId="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3" fontId="25" fillId="2" borderId="28" xfId="0" applyNumberFormat="1" applyFont="1" applyFill="1" applyBorder="1" applyAlignment="1" applyProtection="1">
      <alignment horizontal="center"/>
      <protection hidden="1"/>
    </xf>
    <xf numFmtId="3" fontId="31" fillId="2" borderId="29" xfId="0" applyNumberFormat="1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right"/>
      <protection hidden="1"/>
    </xf>
    <xf numFmtId="3" fontId="31" fillId="2" borderId="3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6" borderId="31" xfId="0" applyFill="1" applyBorder="1" applyAlignment="1" applyProtection="1">
      <alignment/>
      <protection hidden="1"/>
    </xf>
    <xf numFmtId="0" fontId="1" fillId="6" borderId="32" xfId="0" applyFont="1" applyFill="1" applyBorder="1" applyAlignment="1" applyProtection="1">
      <alignment horizontal="right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174" fontId="5" fillId="6" borderId="34" xfId="0" applyNumberFormat="1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right"/>
      <protection hidden="1"/>
    </xf>
    <xf numFmtId="0" fontId="1" fillId="6" borderId="36" xfId="0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174" fontId="5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7" borderId="37" xfId="0" applyFill="1" applyBorder="1" applyAlignment="1" applyProtection="1">
      <alignment/>
      <protection hidden="1"/>
    </xf>
    <xf numFmtId="0" fontId="1" fillId="7" borderId="38" xfId="0" applyFont="1" applyFill="1" applyBorder="1" applyAlignment="1" applyProtection="1">
      <alignment horizontal="right"/>
      <protection hidden="1"/>
    </xf>
    <xf numFmtId="0" fontId="1" fillId="7" borderId="39" xfId="0" applyFont="1" applyFill="1" applyBorder="1" applyAlignment="1" applyProtection="1">
      <alignment horizontal="center"/>
      <protection hidden="1"/>
    </xf>
    <xf numFmtId="0" fontId="1" fillId="4" borderId="40" xfId="0" applyFont="1" applyFill="1" applyBorder="1" applyAlignment="1" applyProtection="1">
      <alignment horizontal="center"/>
      <protection hidden="1"/>
    </xf>
    <xf numFmtId="0" fontId="1" fillId="4" borderId="41" xfId="0" applyFont="1" applyFill="1" applyBorder="1" applyAlignment="1" applyProtection="1">
      <alignment horizontal="center"/>
      <protection hidden="1"/>
    </xf>
    <xf numFmtId="0" fontId="2" fillId="5" borderId="42" xfId="0" applyFont="1" applyFill="1" applyBorder="1" applyAlignment="1" applyProtection="1">
      <alignment horizontal="center"/>
      <protection hidden="1"/>
    </xf>
    <xf numFmtId="174" fontId="5" fillId="7" borderId="43" xfId="0" applyNumberFormat="1" applyFont="1" applyFill="1" applyBorder="1" applyAlignment="1" applyProtection="1">
      <alignment horizontal="center"/>
      <protection hidden="1"/>
    </xf>
    <xf numFmtId="0" fontId="1" fillId="7" borderId="44" xfId="0" applyFont="1" applyFill="1" applyBorder="1" applyAlignment="1" applyProtection="1">
      <alignment horizontal="right"/>
      <protection hidden="1"/>
    </xf>
    <xf numFmtId="0" fontId="1" fillId="7" borderId="45" xfId="0" applyFont="1" applyFill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/>
      <protection hidden="1"/>
    </xf>
    <xf numFmtId="0" fontId="1" fillId="8" borderId="47" xfId="0" applyFont="1" applyFill="1" applyBorder="1" applyAlignment="1" applyProtection="1">
      <alignment horizontal="right"/>
      <protection hidden="1"/>
    </xf>
    <xf numFmtId="0" fontId="1" fillId="8" borderId="48" xfId="0" applyFont="1" applyFill="1" applyBorder="1" applyAlignment="1" applyProtection="1">
      <alignment horizontal="center"/>
      <protection hidden="1"/>
    </xf>
    <xf numFmtId="0" fontId="1" fillId="4" borderId="49" xfId="0" applyFont="1" applyFill="1" applyBorder="1" applyAlignment="1" applyProtection="1">
      <alignment horizontal="center"/>
      <protection hidden="1"/>
    </xf>
    <xf numFmtId="174" fontId="5" fillId="8" borderId="50" xfId="0" applyNumberFormat="1" applyFont="1" applyFill="1" applyBorder="1" applyAlignment="1" applyProtection="1">
      <alignment horizontal="center"/>
      <protection hidden="1"/>
    </xf>
    <xf numFmtId="0" fontId="1" fillId="8" borderId="51" xfId="0" applyFont="1" applyFill="1" applyBorder="1" applyAlignment="1" applyProtection="1">
      <alignment horizontal="right"/>
      <protection hidden="1"/>
    </xf>
    <xf numFmtId="0" fontId="1" fillId="8" borderId="52" xfId="0" applyFont="1" applyFill="1" applyBorder="1" applyAlignment="1" applyProtection="1">
      <alignment horizontal="center"/>
      <protection hidden="1"/>
    </xf>
    <xf numFmtId="0" fontId="39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3" fontId="25" fillId="2" borderId="53" xfId="0" applyNumberFormat="1" applyFont="1" applyFill="1" applyBorder="1" applyAlignment="1" applyProtection="1">
      <alignment horizontal="center"/>
      <protection hidden="1"/>
    </xf>
    <xf numFmtId="3" fontId="31" fillId="2" borderId="54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38" fillId="2" borderId="0" xfId="0" applyFont="1" applyFill="1" applyAlignment="1" applyProtection="1">
      <alignment/>
      <protection hidden="1"/>
    </xf>
    <xf numFmtId="0" fontId="23" fillId="2" borderId="0" xfId="0" applyFont="1" applyFill="1" applyBorder="1" applyAlignment="1" applyProtection="1">
      <alignment horizontal="centerContinuous"/>
      <protection hidden="1"/>
    </xf>
    <xf numFmtId="0" fontId="4" fillId="2" borderId="0" xfId="0" applyFont="1" applyFill="1" applyBorder="1" applyAlignment="1" applyProtection="1">
      <alignment horizontal="centerContinuous"/>
      <protection hidden="1"/>
    </xf>
    <xf numFmtId="0" fontId="0" fillId="3" borderId="55" xfId="0" applyFill="1" applyBorder="1" applyAlignment="1" applyProtection="1">
      <alignment/>
      <protection hidden="1"/>
    </xf>
    <xf numFmtId="0" fontId="0" fillId="3" borderId="56" xfId="0" applyFill="1" applyBorder="1" applyAlignment="1" applyProtection="1">
      <alignment/>
      <protection hidden="1"/>
    </xf>
    <xf numFmtId="0" fontId="0" fillId="3" borderId="57" xfId="0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3" fontId="31" fillId="2" borderId="58" xfId="0" applyNumberFormat="1" applyFont="1" applyFill="1" applyBorder="1" applyAlignment="1" applyProtection="1">
      <alignment horizontal="center"/>
      <protection hidden="1"/>
    </xf>
    <xf numFmtId="171" fontId="20" fillId="2" borderId="0" xfId="0" applyNumberFormat="1" applyFont="1" applyFill="1" applyAlignment="1" applyProtection="1">
      <alignment horizontal="center"/>
      <protection hidden="1"/>
    </xf>
    <xf numFmtId="0" fontId="48" fillId="2" borderId="0" xfId="0" applyFont="1" applyFill="1" applyAlignment="1" applyProtection="1">
      <alignment horizontal="right"/>
      <protection hidden="1"/>
    </xf>
    <xf numFmtId="179" fontId="48" fillId="2" borderId="0" xfId="0" applyNumberFormat="1" applyFont="1" applyFill="1" applyAlignment="1" applyProtection="1">
      <alignment horizontal="center"/>
      <protection hidden="1"/>
    </xf>
    <xf numFmtId="6" fontId="48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25" fillId="2" borderId="38" xfId="0" applyFont="1" applyFill="1" applyBorder="1" applyAlignment="1" applyProtection="1">
      <alignment horizontal="right"/>
      <protection hidden="1"/>
    </xf>
    <xf numFmtId="0" fontId="0" fillId="2" borderId="38" xfId="0" applyFill="1" applyBorder="1" applyAlignment="1" applyProtection="1">
      <alignment/>
      <protection hidden="1"/>
    </xf>
    <xf numFmtId="0" fontId="25" fillId="2" borderId="38" xfId="0" applyFont="1" applyFill="1" applyBorder="1" applyAlignment="1" applyProtection="1">
      <alignment horizontal="left"/>
      <protection hidden="1"/>
    </xf>
    <xf numFmtId="5" fontId="25" fillId="2" borderId="39" xfId="0" applyNumberFormat="1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0" fillId="2" borderId="43" xfId="0" applyFill="1" applyBorder="1" applyAlignment="1" applyProtection="1">
      <alignment horizontal="center"/>
      <protection hidden="1"/>
    </xf>
    <xf numFmtId="0" fontId="25" fillId="2" borderId="44" xfId="0" applyFont="1" applyFill="1" applyBorder="1" applyAlignment="1" applyProtection="1">
      <alignment horizontal="right"/>
      <protection hidden="1"/>
    </xf>
    <xf numFmtId="0" fontId="0" fillId="2" borderId="44" xfId="0" applyFill="1" applyBorder="1" applyAlignment="1" applyProtection="1">
      <alignment/>
      <protection hidden="1"/>
    </xf>
    <xf numFmtId="0" fontId="0" fillId="2" borderId="45" xfId="0" applyFill="1" applyBorder="1" applyAlignment="1" applyProtection="1">
      <alignment/>
      <protection hidden="1"/>
    </xf>
    <xf numFmtId="0" fontId="22" fillId="2" borderId="0" xfId="0" applyFont="1" applyFill="1" applyAlignment="1" applyProtection="1">
      <alignment horizontal="right"/>
      <protection hidden="1"/>
    </xf>
    <xf numFmtId="174" fontId="22" fillId="2" borderId="0" xfId="0" applyNumberFormat="1" applyFont="1" applyFill="1" applyAlignment="1" applyProtection="1">
      <alignment horizontal="center"/>
      <protection hidden="1"/>
    </xf>
    <xf numFmtId="0" fontId="14" fillId="2" borderId="0" xfId="0" applyNumberFormat="1" applyFont="1" applyFill="1" applyAlignment="1" applyProtection="1">
      <alignment horizontal="center"/>
      <protection hidden="1" locked="0"/>
    </xf>
    <xf numFmtId="0" fontId="27" fillId="9" borderId="59" xfId="0" applyFont="1" applyFill="1" applyBorder="1" applyAlignment="1" applyProtection="1">
      <alignment/>
      <protection hidden="1"/>
    </xf>
    <xf numFmtId="0" fontId="27" fillId="9" borderId="60" xfId="0" applyFont="1" applyFill="1" applyBorder="1" applyAlignment="1" applyProtection="1">
      <alignment/>
      <protection hidden="1"/>
    </xf>
    <xf numFmtId="0" fontId="25" fillId="2" borderId="61" xfId="0" applyFont="1" applyFill="1" applyBorder="1" applyAlignment="1" applyProtection="1">
      <alignment horizontal="center"/>
      <protection hidden="1" locked="0"/>
    </xf>
    <xf numFmtId="0" fontId="31" fillId="2" borderId="61" xfId="0" applyFont="1" applyFill="1" applyBorder="1" applyAlignment="1" applyProtection="1">
      <alignment horizontal="center"/>
      <protection hidden="1" locked="0"/>
    </xf>
    <xf numFmtId="0" fontId="25" fillId="2" borderId="62" xfId="0" applyFont="1" applyFill="1" applyBorder="1" applyAlignment="1" applyProtection="1">
      <alignment horizontal="center"/>
      <protection hidden="1" locked="0"/>
    </xf>
    <xf numFmtId="0" fontId="31" fillId="2" borderId="62" xfId="0" applyFont="1" applyFill="1" applyBorder="1" applyAlignment="1" applyProtection="1">
      <alignment horizontal="center"/>
      <protection hidden="1" locked="0"/>
    </xf>
    <xf numFmtId="0" fontId="25" fillId="2" borderId="63" xfId="0" applyFont="1" applyFill="1" applyBorder="1" applyAlignment="1" applyProtection="1">
      <alignment horizontal="center"/>
      <protection hidden="1" locked="0"/>
    </xf>
    <xf numFmtId="0" fontId="31" fillId="2" borderId="63" xfId="0" applyFont="1" applyFill="1" applyBorder="1" applyAlignment="1" applyProtection="1">
      <alignment horizontal="center"/>
      <protection hidden="1" locked="0"/>
    </xf>
    <xf numFmtId="0" fontId="25" fillId="2" borderId="0" xfId="0" applyFont="1" applyFill="1" applyAlignment="1" applyProtection="1">
      <alignment horizontal="center"/>
      <protection hidden="1"/>
    </xf>
    <xf numFmtId="0" fontId="0" fillId="2" borderId="44" xfId="0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195" fontId="25" fillId="2" borderId="38" xfId="0" applyNumberFormat="1" applyFont="1" applyFill="1" applyBorder="1" applyAlignment="1" applyProtection="1">
      <alignment horizontal="left"/>
      <protection locked="0"/>
    </xf>
    <xf numFmtId="195" fontId="0" fillId="0" borderId="38" xfId="0" applyNumberFormat="1" applyBorder="1" applyAlignment="1" applyProtection="1">
      <alignment/>
      <protection locked="0"/>
    </xf>
    <xf numFmtId="0" fontId="32" fillId="2" borderId="0" xfId="0" applyFont="1" applyFill="1" applyAlignment="1" applyProtection="1">
      <alignment horizontal="right" vertical="center" wrapText="1"/>
      <protection hidden="1"/>
    </xf>
    <xf numFmtId="0" fontId="32" fillId="0" borderId="0" xfId="0" applyFont="1" applyAlignment="1" applyProtection="1">
      <alignment horizontal="right" vertical="center" wrapText="1"/>
      <protection hidden="1"/>
    </xf>
    <xf numFmtId="0" fontId="32" fillId="0" borderId="64" xfId="0" applyFont="1" applyBorder="1" applyAlignment="1" applyProtection="1">
      <alignment horizontal="right" vertical="center" wrapText="1"/>
      <protection hidden="1"/>
    </xf>
    <xf numFmtId="182" fontId="25" fillId="2" borderId="44" xfId="0" applyNumberFormat="1" applyFont="1" applyFill="1" applyBorder="1" applyAlignment="1" applyProtection="1">
      <alignment horizontal="left"/>
      <protection locked="0"/>
    </xf>
    <xf numFmtId="0" fontId="0" fillId="0" borderId="44" xfId="0" applyBorder="1" applyAlignment="1" applyProtection="1">
      <alignment/>
      <protection locked="0"/>
    </xf>
    <xf numFmtId="0" fontId="26" fillId="3" borderId="65" xfId="0" applyFont="1" applyFill="1" applyBorder="1" applyAlignment="1" applyProtection="1">
      <alignment horizontal="center" vertical="center" wrapText="1"/>
      <protection hidden="1"/>
    </xf>
    <xf numFmtId="0" fontId="25" fillId="3" borderId="65" xfId="0" applyFont="1" applyFill="1" applyBorder="1" applyAlignment="1" applyProtection="1">
      <alignment horizontal="center" vertical="center" wrapText="1"/>
      <protection hidden="1"/>
    </xf>
    <xf numFmtId="0" fontId="24" fillId="3" borderId="66" xfId="0" applyFont="1" applyFill="1" applyBorder="1" applyAlignment="1" applyProtection="1">
      <alignment horizontal="center" vertical="center"/>
      <protection hidden="1"/>
    </xf>
    <xf numFmtId="0" fontId="27" fillId="9" borderId="67" xfId="0" applyFont="1" applyFill="1" applyBorder="1" applyAlignment="1" applyProtection="1">
      <alignment horizontal="right" vertical="center"/>
      <protection hidden="1"/>
    </xf>
    <xf numFmtId="0" fontId="27" fillId="9" borderId="68" xfId="0" applyFont="1" applyFill="1" applyBorder="1" applyAlignment="1" applyProtection="1">
      <alignment/>
      <protection hidden="1"/>
    </xf>
    <xf numFmtId="0" fontId="27" fillId="9" borderId="69" xfId="0" applyFont="1" applyFill="1" applyBorder="1" applyAlignment="1" applyProtection="1">
      <alignment/>
      <protection hidden="1"/>
    </xf>
    <xf numFmtId="0" fontId="27" fillId="9" borderId="70" xfId="0" applyFont="1" applyFill="1" applyBorder="1" applyAlignment="1" applyProtection="1">
      <alignment/>
      <protection hidden="1"/>
    </xf>
    <xf numFmtId="0" fontId="46" fillId="2" borderId="0" xfId="0" applyFont="1" applyFill="1" applyAlignment="1" applyProtection="1">
      <alignment horizontal="center"/>
      <protection hidden="1"/>
    </xf>
    <xf numFmtId="0" fontId="47" fillId="0" borderId="0" xfId="0" applyFont="1" applyAlignment="1" applyProtection="1">
      <alignment/>
      <protection hidden="1"/>
    </xf>
    <xf numFmtId="0" fontId="29" fillId="3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9" fillId="8" borderId="71" xfId="0" applyFont="1" applyFill="1" applyBorder="1" applyAlignment="1" applyProtection="1">
      <alignment horizontal="center" vertical="center"/>
      <protection hidden="1"/>
    </xf>
    <xf numFmtId="0" fontId="19" fillId="8" borderId="72" xfId="0" applyFont="1" applyFill="1" applyBorder="1" applyAlignment="1" applyProtection="1">
      <alignment horizontal="center" vertical="center"/>
      <protection hidden="1"/>
    </xf>
    <xf numFmtId="0" fontId="19" fillId="8" borderId="73" xfId="0" applyFont="1" applyFill="1" applyBorder="1" applyAlignment="1" applyProtection="1">
      <alignment horizontal="center" vertical="center"/>
      <protection hidden="1"/>
    </xf>
    <xf numFmtId="0" fontId="19" fillId="8" borderId="74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75" xfId="0" applyFont="1" applyFill="1" applyBorder="1" applyAlignment="1" applyProtection="1">
      <alignment horizontal="center" vertical="center"/>
      <protection hidden="1"/>
    </xf>
    <xf numFmtId="0" fontId="19" fillId="8" borderId="76" xfId="0" applyFont="1" applyFill="1" applyBorder="1" applyAlignment="1" applyProtection="1">
      <alignment horizontal="center" vertical="center"/>
      <protection hidden="1"/>
    </xf>
    <xf numFmtId="0" fontId="19" fillId="8" borderId="77" xfId="0" applyFont="1" applyFill="1" applyBorder="1" applyAlignment="1" applyProtection="1">
      <alignment horizontal="center" vertical="center"/>
      <protection hidden="1"/>
    </xf>
    <xf numFmtId="0" fontId="19" fillId="8" borderId="7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8" borderId="79" xfId="0" applyFont="1" applyFill="1" applyBorder="1" applyAlignment="1" applyProtection="1">
      <alignment horizontal="center" vertical="center"/>
      <protection hidden="1"/>
    </xf>
    <xf numFmtId="0" fontId="12" fillId="8" borderId="80" xfId="0" applyFont="1" applyFill="1" applyBorder="1" applyAlignment="1" applyProtection="1">
      <alignment horizontal="center" vertical="center"/>
      <protection hidden="1"/>
    </xf>
    <xf numFmtId="0" fontId="12" fillId="8" borderId="8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82" xfId="0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20" fillId="2" borderId="12" xfId="0" applyFont="1" applyFill="1" applyBorder="1" applyAlignment="1" applyProtection="1">
      <alignment horizontal="center" textRotation="180"/>
      <protection hidden="1"/>
    </xf>
    <xf numFmtId="0" fontId="0" fillId="0" borderId="12" xfId="0" applyBorder="1" applyAlignment="1" applyProtection="1">
      <alignment horizontal="center" textRotation="180"/>
      <protection hidden="1"/>
    </xf>
    <xf numFmtId="0" fontId="17" fillId="6" borderId="83" xfId="0" applyFont="1" applyFill="1" applyBorder="1" applyAlignment="1" applyProtection="1">
      <alignment horizontal="center" vertical="center"/>
      <protection hidden="1"/>
    </xf>
    <xf numFmtId="0" fontId="18" fillId="6" borderId="84" xfId="0" applyFont="1" applyFill="1" applyBorder="1" applyAlignment="1" applyProtection="1">
      <alignment horizontal="center" vertical="center"/>
      <protection hidden="1"/>
    </xf>
    <xf numFmtId="0" fontId="18" fillId="6" borderId="85" xfId="0" applyFont="1" applyFill="1" applyBorder="1" applyAlignment="1" applyProtection="1">
      <alignment horizontal="center" vertical="center"/>
      <protection hidden="1"/>
    </xf>
    <xf numFmtId="0" fontId="18" fillId="6" borderId="86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18" fillId="6" borderId="87" xfId="0" applyFont="1" applyFill="1" applyBorder="1" applyAlignment="1" applyProtection="1">
      <alignment horizontal="center" vertical="center"/>
      <protection hidden="1"/>
    </xf>
    <xf numFmtId="0" fontId="18" fillId="6" borderId="88" xfId="0" applyFont="1" applyFill="1" applyBorder="1" applyAlignment="1" applyProtection="1">
      <alignment horizontal="center" vertical="center"/>
      <protection hidden="1"/>
    </xf>
    <xf numFmtId="0" fontId="18" fillId="6" borderId="89" xfId="0" applyFont="1" applyFill="1" applyBorder="1" applyAlignment="1" applyProtection="1">
      <alignment horizontal="center" vertical="center"/>
      <protection hidden="1"/>
    </xf>
    <xf numFmtId="0" fontId="18" fillId="6" borderId="90" xfId="0" applyFont="1" applyFill="1" applyBorder="1" applyAlignment="1" applyProtection="1">
      <alignment horizontal="center" vertical="center"/>
      <protection hidden="1"/>
    </xf>
    <xf numFmtId="0" fontId="27" fillId="9" borderId="91" xfId="0" applyFont="1" applyFill="1" applyBorder="1" applyAlignment="1" applyProtection="1">
      <alignment horizontal="right" vertical="center"/>
      <protection hidden="1"/>
    </xf>
    <xf numFmtId="0" fontId="27" fillId="9" borderId="92" xfId="0" applyFont="1" applyFill="1" applyBorder="1" applyAlignment="1" applyProtection="1">
      <alignment/>
      <protection hidden="1"/>
    </xf>
    <xf numFmtId="0" fontId="27" fillId="9" borderId="93" xfId="0" applyFont="1" applyFill="1" applyBorder="1" applyAlignment="1" applyProtection="1">
      <alignment/>
      <protection hidden="1"/>
    </xf>
    <xf numFmtId="0" fontId="27" fillId="9" borderId="94" xfId="0" applyFont="1" applyFill="1" applyBorder="1" applyAlignment="1" applyProtection="1">
      <alignment/>
      <protection hidden="1"/>
    </xf>
    <xf numFmtId="0" fontId="27" fillId="9" borderId="95" xfId="0" applyFont="1" applyFill="1" applyBorder="1" applyAlignment="1" applyProtection="1">
      <alignment/>
      <protection hidden="1"/>
    </xf>
    <xf numFmtId="0" fontId="27" fillId="9" borderId="96" xfId="0" applyFont="1" applyFill="1" applyBorder="1" applyAlignment="1" applyProtection="1">
      <alignment/>
      <protection hidden="1"/>
    </xf>
    <xf numFmtId="0" fontId="16" fillId="10" borderId="67" xfId="0" applyFont="1" applyFill="1" applyBorder="1" applyAlignment="1" applyProtection="1">
      <alignment horizontal="right" vertical="center"/>
      <protection hidden="1"/>
    </xf>
    <xf numFmtId="0" fontId="16" fillId="10" borderId="68" xfId="0" applyFont="1" applyFill="1" applyBorder="1" applyAlignment="1" applyProtection="1">
      <alignment/>
      <protection hidden="1"/>
    </xf>
    <xf numFmtId="0" fontId="16" fillId="10" borderId="69" xfId="0" applyFont="1" applyFill="1" applyBorder="1" applyAlignment="1" applyProtection="1">
      <alignment/>
      <protection hidden="1"/>
    </xf>
    <xf numFmtId="0" fontId="16" fillId="10" borderId="70" xfId="0" applyFont="1" applyFill="1" applyBorder="1" applyAlignment="1" applyProtection="1">
      <alignment/>
      <protection hidden="1"/>
    </xf>
    <xf numFmtId="0" fontId="16" fillId="10" borderId="59" xfId="0" applyFont="1" applyFill="1" applyBorder="1" applyAlignment="1" applyProtection="1">
      <alignment/>
      <protection hidden="1"/>
    </xf>
    <xf numFmtId="0" fontId="16" fillId="10" borderId="60" xfId="0" applyFont="1" applyFill="1" applyBorder="1" applyAlignment="1" applyProtection="1">
      <alignment/>
      <protection hidden="1"/>
    </xf>
    <xf numFmtId="0" fontId="16" fillId="10" borderId="91" xfId="0" applyFont="1" applyFill="1" applyBorder="1" applyAlignment="1" applyProtection="1">
      <alignment horizontal="right" vertical="center"/>
      <protection hidden="1"/>
    </xf>
    <xf numFmtId="0" fontId="16" fillId="10" borderId="92" xfId="0" applyFont="1" applyFill="1" applyBorder="1" applyAlignment="1" applyProtection="1">
      <alignment/>
      <protection hidden="1"/>
    </xf>
    <xf numFmtId="0" fontId="16" fillId="10" borderId="93" xfId="0" applyFont="1" applyFill="1" applyBorder="1" applyAlignment="1" applyProtection="1">
      <alignment/>
      <protection hidden="1"/>
    </xf>
    <xf numFmtId="0" fontId="16" fillId="10" borderId="94" xfId="0" applyFont="1" applyFill="1" applyBorder="1" applyAlignment="1" applyProtection="1">
      <alignment/>
      <protection hidden="1"/>
    </xf>
    <xf numFmtId="0" fontId="16" fillId="10" borderId="95" xfId="0" applyFont="1" applyFill="1" applyBorder="1" applyAlignment="1" applyProtection="1">
      <alignment/>
      <protection hidden="1"/>
    </xf>
    <xf numFmtId="0" fontId="16" fillId="10" borderId="96" xfId="0" applyFont="1" applyFill="1" applyBorder="1" applyAlignment="1" applyProtection="1">
      <alignment/>
      <protection hidden="1"/>
    </xf>
    <xf numFmtId="0" fontId="15" fillId="2" borderId="16" xfId="0" applyFont="1" applyFill="1" applyBorder="1" applyAlignment="1" applyProtection="1">
      <alignment horizontal="center"/>
      <protection hidden="1"/>
    </xf>
    <xf numFmtId="0" fontId="15" fillId="2" borderId="19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5" fillId="2" borderId="38" xfId="0" applyFont="1" applyFill="1" applyBorder="1" applyAlignment="1" applyProtection="1">
      <alignment horizontal="right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49" fillId="2" borderId="16" xfId="0" applyFont="1" applyFill="1" applyBorder="1" applyAlignment="1" applyProtection="1">
      <alignment horizontal="center"/>
      <protection hidden="1"/>
    </xf>
    <xf numFmtId="0" fontId="49" fillId="2" borderId="19" xfId="0" applyFont="1" applyFill="1" applyBorder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43</xdr:row>
      <xdr:rowOff>114300</xdr:rowOff>
    </xdr:from>
    <xdr:to>
      <xdr:col>11</xdr:col>
      <xdr:colOff>361950</xdr:colOff>
      <xdr:row>51</xdr:row>
      <xdr:rowOff>9525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533400" y="7410450"/>
          <a:ext cx="6115050" cy="1228725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BANK DRAWING RULES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•If the bank's total is 2 or less then bank draws a card, regardless of what the players third card is. 
•If the banks total is 3 then the bank draws a third card unless the players third card was an 8. 
•If the banks total is 4 then the bank draws a third card unless the players third card was a 0, 1, 8, or 9. 
•If the banks total is 5 then the bank draws a third card if the players third card was 4, 5, 6, or 7. 
•If the banks total is 6 then the bank draws a third card if the players third card was a 6 or 7. 
•If the banks total is 7 then the bank stands.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66"/>
  <sheetViews>
    <sheetView showRowColHeader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.57421875" style="6" customWidth="1"/>
    <col min="3" max="3" width="8.00390625" style="6" customWidth="1"/>
    <col min="4" max="4" width="8.8515625" style="6" customWidth="1"/>
    <col min="5" max="5" width="9.00390625" style="6" customWidth="1"/>
    <col min="6" max="6" width="12.57421875" style="6" customWidth="1"/>
    <col min="7" max="8" width="9.140625" style="6" customWidth="1"/>
    <col min="9" max="9" width="4.7109375" style="6" customWidth="1"/>
    <col min="10" max="10" width="25.140625" style="6" customWidth="1"/>
    <col min="11" max="11" width="4.140625" style="6" customWidth="1"/>
    <col min="12" max="12" width="9.140625" style="6" customWidth="1"/>
    <col min="13" max="13" width="2.7109375" style="6" customWidth="1"/>
    <col min="14" max="14" width="6.140625" style="6" customWidth="1"/>
    <col min="15" max="15" width="9.140625" style="6" customWidth="1"/>
    <col min="16" max="16" width="6.8515625" style="6" customWidth="1"/>
    <col min="17" max="17" width="6.28125" style="6" customWidth="1"/>
    <col min="18" max="18" width="6.140625" style="6" customWidth="1"/>
    <col min="19" max="19" width="7.00390625" style="6" customWidth="1"/>
    <col min="20" max="20" width="6.57421875" style="6" customWidth="1"/>
    <col min="21" max="21" width="2.57421875" style="6" customWidth="1"/>
    <col min="22" max="22" width="7.140625" style="6" customWidth="1"/>
    <col min="23" max="23" width="6.8515625" style="6" customWidth="1"/>
    <col min="24" max="25" width="6.7109375" style="6" customWidth="1"/>
    <col min="26" max="26" width="4.28125" style="6" customWidth="1"/>
    <col min="27" max="27" width="10.00390625" style="6" bestFit="1" customWidth="1"/>
    <col min="28" max="28" width="9.140625" style="6" customWidth="1"/>
    <col min="29" max="29" width="2.8515625" style="51" customWidth="1"/>
    <col min="30" max="30" width="8.00390625" style="6" customWidth="1"/>
    <col min="31" max="31" width="9.421875" style="6" customWidth="1"/>
    <col min="32" max="32" width="8.421875" style="6" customWidth="1"/>
    <col min="33" max="33" width="4.140625" style="51" customWidth="1"/>
    <col min="34" max="34" width="4.00390625" style="51" customWidth="1"/>
    <col min="35" max="37" width="9.140625" style="6" customWidth="1"/>
    <col min="38" max="38" width="4.140625" style="6" customWidth="1"/>
    <col min="39" max="39" width="4.421875" style="6" customWidth="1"/>
    <col min="40" max="45" width="9.140625" style="6" customWidth="1"/>
    <col min="46" max="46" width="11.421875" style="7" customWidth="1"/>
    <col min="47" max="47" width="9.140625" style="6" customWidth="1"/>
    <col min="48" max="48" width="11.421875" style="51" customWidth="1"/>
    <col min="49" max="49" width="9.140625" style="6" customWidth="1"/>
    <col min="50" max="50" width="10.00390625" style="6" customWidth="1"/>
    <col min="51" max="16384" width="9.140625" style="6" customWidth="1"/>
  </cols>
  <sheetData>
    <row r="1" spans="1:50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>
        <f>ROUND(AD6,0)</f>
        <v>1</v>
      </c>
      <c r="P1" s="2"/>
      <c r="Q1" s="4" t="s">
        <v>20</v>
      </c>
      <c r="R1" s="5"/>
      <c r="S1" s="5"/>
      <c r="T1" s="5"/>
      <c r="U1" s="5"/>
      <c r="V1" s="5"/>
      <c r="W1" s="5"/>
      <c r="X1" s="5"/>
      <c r="Y1" s="5"/>
      <c r="Z1" s="2"/>
      <c r="AA1" s="2"/>
      <c r="AB1" s="2"/>
      <c r="AC1" s="1"/>
      <c r="AD1" s="2"/>
      <c r="AE1" s="2"/>
      <c r="AF1" s="2"/>
      <c r="AG1" s="1"/>
      <c r="AH1" s="1"/>
      <c r="AI1" s="2"/>
      <c r="AJ1" s="2"/>
      <c r="AK1" s="2"/>
      <c r="AL1" s="2"/>
      <c r="AM1" s="2"/>
      <c r="AN1" s="2"/>
      <c r="AO1" s="2"/>
      <c r="AP1" s="2"/>
      <c r="AV1" s="8"/>
      <c r="AX1" s="9"/>
    </row>
    <row r="2" spans="1:50" ht="13.5" thickTop="1">
      <c r="A2" s="1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2"/>
      <c r="O2" s="2"/>
      <c r="P2" s="2"/>
      <c r="Q2" s="13" t="s">
        <v>19</v>
      </c>
      <c r="R2" s="13"/>
      <c r="S2" s="13"/>
      <c r="T2" s="13"/>
      <c r="U2" s="2"/>
      <c r="V2" s="13" t="s">
        <v>29</v>
      </c>
      <c r="W2" s="13"/>
      <c r="X2" s="13"/>
      <c r="Y2" s="13"/>
      <c r="Z2" s="1"/>
      <c r="AA2" s="14" t="s">
        <v>24</v>
      </c>
      <c r="AB2" s="15"/>
      <c r="AC2" s="1"/>
      <c r="AD2" s="16" t="s">
        <v>22</v>
      </c>
      <c r="AE2" s="17"/>
      <c r="AF2" s="18"/>
      <c r="AG2" s="210" t="s">
        <v>38</v>
      </c>
      <c r="AH2" s="211"/>
      <c r="AI2" s="19" t="s">
        <v>23</v>
      </c>
      <c r="AJ2" s="20"/>
      <c r="AK2" s="21"/>
      <c r="AL2" s="210" t="s">
        <v>38</v>
      </c>
      <c r="AM2" s="212"/>
      <c r="AN2" s="22" t="s">
        <v>21</v>
      </c>
      <c r="AO2" s="23"/>
      <c r="AP2" s="2"/>
      <c r="AV2" s="8"/>
      <c r="AX2" s="24"/>
    </row>
    <row r="3" spans="1:54" ht="13.5" customHeight="1" thickBot="1">
      <c r="A3" s="2"/>
      <c r="B3" s="25"/>
      <c r="C3" s="26"/>
      <c r="D3" s="26"/>
      <c r="E3" s="26"/>
      <c r="F3" s="26"/>
      <c r="G3" s="26"/>
      <c r="H3" s="27"/>
      <c r="I3" s="28"/>
      <c r="J3" s="26"/>
      <c r="K3" s="26"/>
      <c r="L3" s="26"/>
      <c r="M3" s="29"/>
      <c r="N3" s="2"/>
      <c r="O3" s="30" t="s">
        <v>28</v>
      </c>
      <c r="P3" s="30"/>
      <c r="Q3" s="178" t="s">
        <v>2</v>
      </c>
      <c r="R3" s="180" t="s">
        <v>3</v>
      </c>
      <c r="S3" s="213" t="s">
        <v>5</v>
      </c>
      <c r="T3" s="173" t="s">
        <v>4</v>
      </c>
      <c r="U3" s="2"/>
      <c r="V3" s="178" t="s">
        <v>2</v>
      </c>
      <c r="W3" s="180" t="s">
        <v>3</v>
      </c>
      <c r="X3" s="213" t="s">
        <v>5</v>
      </c>
      <c r="Y3" s="173" t="s">
        <v>4</v>
      </c>
      <c r="Z3" s="1"/>
      <c r="AA3" s="31" t="s">
        <v>22</v>
      </c>
      <c r="AB3" s="32" t="s">
        <v>23</v>
      </c>
      <c r="AC3" s="1"/>
      <c r="AD3" s="33" t="s">
        <v>31</v>
      </c>
      <c r="AE3" s="34" t="s">
        <v>32</v>
      </c>
      <c r="AF3" s="35" t="s">
        <v>33</v>
      </c>
      <c r="AG3" s="217" t="s">
        <v>37</v>
      </c>
      <c r="AH3" s="218"/>
      <c r="AI3" s="36" t="s">
        <v>31</v>
      </c>
      <c r="AJ3" s="37" t="s">
        <v>32</v>
      </c>
      <c r="AK3" s="38" t="s">
        <v>33</v>
      </c>
      <c r="AL3" s="217" t="s">
        <v>37</v>
      </c>
      <c r="AM3" s="219"/>
      <c r="AN3" s="39" t="s">
        <v>43</v>
      </c>
      <c r="AO3" s="40"/>
      <c r="AP3" s="2"/>
      <c r="AR3" s="24"/>
      <c r="AS3" s="24"/>
      <c r="AT3" s="24"/>
      <c r="AV3" s="24"/>
      <c r="AX3" s="24"/>
      <c r="AZ3" s="41"/>
      <c r="BB3" s="24"/>
    </row>
    <row r="4" spans="1:54" ht="12.75" customHeight="1" thickTop="1">
      <c r="A4" s="2"/>
      <c r="B4" s="25"/>
      <c r="C4" s="164" t="s">
        <v>18</v>
      </c>
      <c r="D4" s="165"/>
      <c r="E4" s="165"/>
      <c r="F4" s="165"/>
      <c r="G4" s="166"/>
      <c r="H4" s="42"/>
      <c r="I4" s="42"/>
      <c r="J4" s="162">
        <f>IF(SUM(L13:L18)&gt;SUM(L35:L40),"Win",IF(SUM(L13:L18)=SUM(L35:L40),"Tie",""))</f>
      </c>
      <c r="K4" s="26"/>
      <c r="L4" s="26"/>
      <c r="M4" s="29"/>
      <c r="N4" s="133">
        <f>$J$4</f>
      </c>
      <c r="O4" s="43" t="s">
        <v>6</v>
      </c>
      <c r="P4" s="44" t="s">
        <v>1</v>
      </c>
      <c r="Q4" s="179"/>
      <c r="R4" s="179"/>
      <c r="S4" s="144"/>
      <c r="T4" s="174"/>
      <c r="U4" s="2"/>
      <c r="V4" s="179"/>
      <c r="W4" s="179"/>
      <c r="X4" s="144"/>
      <c r="Y4" s="174"/>
      <c r="Z4" s="45">
        <v>1</v>
      </c>
      <c r="AA4" s="136" t="s">
        <v>26</v>
      </c>
      <c r="AB4" s="137">
        <f>IF(AA4="Win","",IF(AA4="Tie","Tie","Win"))</f>
      </c>
      <c r="AC4" s="1"/>
      <c r="AD4" s="46">
        <f>1</f>
        <v>1</v>
      </c>
      <c r="AE4" s="46">
        <f>IF(AA4&lt;&gt;"Win",$AC$51*(-AD4),$AC$51*AD4)</f>
        <v>15</v>
      </c>
      <c r="AF4" s="46">
        <f>SUM($AE$4:AE4)</f>
        <v>15</v>
      </c>
      <c r="AG4" s="47"/>
      <c r="AH4" s="47"/>
      <c r="AI4" s="48">
        <f>1</f>
        <v>1</v>
      </c>
      <c r="AJ4" s="49">
        <f>IF(AB4&lt;&gt;"Win",$AC$51*(-AI4),$AC$51*AI4)</f>
        <v>-15</v>
      </c>
      <c r="AK4" s="49">
        <f>SUM($AJ$4:AJ4)</f>
        <v>-15</v>
      </c>
      <c r="AL4" s="50"/>
      <c r="AM4" s="50"/>
      <c r="AN4" s="50">
        <f aca="true" t="shared" si="0" ref="AN4:AN48">IF(AB4="Win",AJ4,0)</f>
        <v>0</v>
      </c>
      <c r="AO4" s="2"/>
      <c r="AP4" s="2"/>
      <c r="AR4" s="51"/>
      <c r="AS4" s="51"/>
      <c r="AT4" s="52"/>
      <c r="BB4" s="51"/>
    </row>
    <row r="5" spans="1:54" ht="12.75" customHeight="1">
      <c r="A5" s="2"/>
      <c r="B5" s="25"/>
      <c r="C5" s="167"/>
      <c r="D5" s="168"/>
      <c r="E5" s="168"/>
      <c r="F5" s="168"/>
      <c r="G5" s="169"/>
      <c r="H5" s="42"/>
      <c r="I5" s="42"/>
      <c r="J5" s="163"/>
      <c r="K5" s="26"/>
      <c r="L5" s="26"/>
      <c r="M5" s="29"/>
      <c r="N5" s="2"/>
      <c r="O5" s="53">
        <v>1</v>
      </c>
      <c r="P5" s="54" t="s">
        <v>9</v>
      </c>
      <c r="Q5" s="55">
        <f>IF(AND($F$9=1,$F$10=1)=TRUE,1,"")</f>
      </c>
      <c r="R5" s="56">
        <f>IF(AND($F$9=2,$F$10=1)=TRUE,1,"")</f>
      </c>
      <c r="S5" s="57">
        <f>IF(AND($F$9=3,$F$10=1)=TRUE,1,"")</f>
      </c>
      <c r="T5" s="57">
        <f>IF(AND($F$9=4,$F$10=1)=TRUE,1,"")</f>
      </c>
      <c r="U5" s="2"/>
      <c r="V5" s="55">
        <f>IF(AND($F$31=1,$F$32=1)=TRUE,1,"")</f>
      </c>
      <c r="W5" s="56">
        <f>IF(AND($F$31=2,$F$32=1)=TRUE,1,"")</f>
      </c>
      <c r="X5" s="57">
        <f>IF(AND($F$31=3,$F$32=1)=TRUE,1,"")</f>
      </c>
      <c r="Y5" s="57">
        <f>IF(AND($F$31=4,$F$32=1)=TRUE,1,"")</f>
      </c>
      <c r="Z5" s="45">
        <f>1+Z4</f>
        <v>2</v>
      </c>
      <c r="AA5" s="136" t="s">
        <v>26</v>
      </c>
      <c r="AB5" s="137">
        <f aca="true" t="shared" si="1" ref="AB5:AB48">IF(AA5="Win","",IF(AA5="Tie","Tie","Win"))</f>
      </c>
      <c r="AC5" s="58"/>
      <c r="AD5" s="46">
        <f aca="true" t="shared" si="2" ref="AD5:AD33">ROUND(IF(AND(AA4="",AD4=1),2,IF(AND(AA4="",AD4=2),3,IF(AND(AA4="",AD4=3),5,IF(AND(AA4="",AD4=5),8,IF(AND(AA4="",AD4=8),13,IF(AND(AA4="",AD4=13),21,34))))))+IF(AND(AA4="",AD4=34),55-34,IF(AA4="",0,-34/6))+IF(AND(AA4="",AD4=55),89-34,IF(AA4="",0,-34/6))+IF(AND(AA4="",AD4=89),144-34,IF(AA4="",0,-34/6))+IF(AND(AA4="",AD4=144),233-34,IF(AA4="",0,-34/6))+IF(AND(AA4="",AD4=233),377-34,IF(AA4="",0,-34/6))+IF(AND(AA4="",AD4=377),610-34,IF(AA4="",0,-34/6))+AG5,0)</f>
        <v>1</v>
      </c>
      <c r="AE5" s="46">
        <f>IF(AA5="",$AC$51*(-AD5),$AC$51*AD5)</f>
        <v>15</v>
      </c>
      <c r="AF5" s="46">
        <f>SUM($AE$4:AE5)</f>
        <v>30</v>
      </c>
      <c r="AG5" s="47">
        <f aca="true" t="shared" si="3" ref="AG5:AG33">IF(AND(AA4="Win",AD4=610),377,IF(AND(AA4="Win",AD4=377),233,IF(AND(AA4="Win",AD4=233),144,IF(AND(AA4="Win",AD4=144),89,IF(AND(AA4="Win",AD4=89),55,IF(AND(AA4="Win",AD4=55),34,IF(AND(AA4="Win",AD4=34),21,AH5)))))))+IF(AND(AA4="Win",OR(AA3="Win",AA2="Win")),IF(AD4=610,-144,0))+IF(AND(AA4="Win",OR(AA3="Win",AA2="Win")),IF(AD4=377,-89,0))+IF(AND(AA4="Win",OR(AA3="Win",AA2="Win")),IF(AD4=233,-55,0))+IF(AND(AA4="Win",OR(AA3="Win",AA2="Win")),IF(AD4=144,-34,0))+IF(AND(AA4="Win",OR(AA3="Win",AA2="Win")),IF(AD4=89,-21,0))+IF(AND(AA4="Win",OR(AA3="Win",AA2="Win")),IF(AD4=55,-13,0))+IF(AND(AA4="Win",OR(AA3="Win",AA2="Win")),IF(AD4=34,-8,0))+IF(AND(AA4="Win",OR(AA3="Win",AA2="Win")),IF(AD4=21,-5,0))</f>
        <v>1</v>
      </c>
      <c r="AH5" s="47">
        <f aca="true" t="shared" si="4" ref="AH5:AH33">IF(AND(AA4="Win",AD4=21),13,IF(AND(AA4="Win",AD4=13),8,IF(AND(AA4="Win",AD4=8),5,IF(AND(AA4="Win",AD4=5),3,IF(AND(AA4="Win",AD4=3),2,IF(AND(AA4="Win",AD4=2),1,IF(AND(AA4="Win",AD4=1),1,0)))))))+IF(AND(AA4="Win",OR(AA3="Win",AA2="Win")),IF(AD4=13,-3,0))+IF(AND(AA4="Win",OR(AA3="Win",AA2="Win")),IF(AD4=8,-2,0))</f>
        <v>1</v>
      </c>
      <c r="AI5" s="48">
        <f aca="true" t="shared" si="5" ref="AI5:AI33">ROUND(IF(AND(AB4="",AI4=1),2,IF(AND(AB4="",AI4=2),3,IF(AND(AB4="",AI4=3),5,IF(AND(AB4="",AI4=5),8,IF(AND(AB4="",AI4=8),13,IF(AND(AB4="",AI4=13),21,34))))))+IF(AND(AB4="",AI4=34),55-34,IF(AB4="",0,-34/6))+IF(AND(AB4="",AI4=55),89-34,IF(AB4="",0,-34/6))+IF(AND(AB4="",AI4=89),144-34,IF(AB4="",0,-34/6))+IF(AND(AB4="",AI4=144),233-34,IF(AB4="",0,-34/6))+IF(AND(AB4="",AI4=233),377-34,IF(AB4="",0,-34/6))+IF(AND(AB4="",AI4=377),610-34,IF(AB4="",0,-34/6))+AL5,0)</f>
        <v>2</v>
      </c>
      <c r="AJ5" s="49">
        <f>IF(AB5="",$AC$51*(-AI5),$AC$51*AI5)</f>
        <v>-30</v>
      </c>
      <c r="AK5" s="49">
        <f>SUM($AJ$4:AJ5)</f>
        <v>-45</v>
      </c>
      <c r="AL5" s="50">
        <f aca="true" t="shared" si="6" ref="AL5:AL33">IF(AND(AB4="Win",AI4=610),377,IF(AND(AB4="Win",AI4=377),233,IF(AND(AB4="Win",AI4=233),144,IF(AND(AB4="Win",AI4=144),89,IF(AND(AB4="Win",AI4=89),55,IF(AND(AB4="Win",AI4=55),34,IF(AND(AB4="Win",AI4=34),21,AM5)))))))+IF(AND(AB4="Win",OR(AB3="Win",AB2="Win")),IF(AI4=610,-144,0))+IF(AND(AB4="Win",OR(AB3="Win",AB2="Win")),IF(AI4=377,-89,0))+IF(AND(AB4="Win",OR(AB3="Win",AB2="Win")),IF(AI4=233,-55,0))+IF(AND(AB4="Win",OR(AB3="Win",AB2="Win")),IF(AI4=144,-34,0))+IF(AND(AB4="Win",OR(AB3="Win",AB2="Win")),IF(AI4=89,-21,0))+IF(AND(AB4="Win",OR(AB3="Win",AB2="Win")),IF(AI4=55,-13,0))+IF(AND(AB4="Win",OR(AB3="Win",AB2="Win")),IF(AI4=34,-8,0))+IF(AND(AB4="Win",OR(AB3="Win",AB2="Win")),IF(AI4=21,-5,0))</f>
        <v>0</v>
      </c>
      <c r="AM5" s="50">
        <f aca="true" t="shared" si="7" ref="AM5:AM33">IF(AND(AB4="Win",AI4=21),13,IF(AND(AB4="Win",AI4=13),8,IF(AND(AB4="Win",AI4=8),5,IF(AND(AB4="Win",AI4=5),3,IF(AND(AB4="Win",AI4=3),2,IF(AND(AB4="Win",AI4=2),1,IF(AND(AB4="Win",AI4=1),1,0)))))))+IF(AND(AB4="Win",OR(AB3="Win",AB2="Win")),IF(AI4=13,-3,0))+IF(AND(AB4="Win",OR(AB3="Win",AB2="Win")),IF(AI4=8,-2,0))</f>
        <v>0</v>
      </c>
      <c r="AN5" s="50">
        <f t="shared" si="0"/>
        <v>0</v>
      </c>
      <c r="AO5" s="2"/>
      <c r="AP5" s="2"/>
      <c r="AR5" s="51"/>
      <c r="AS5" s="51"/>
      <c r="AT5" s="59"/>
      <c r="AX5" s="51"/>
      <c r="AZ5" s="51"/>
      <c r="BB5" s="51"/>
    </row>
    <row r="6" spans="1:54" ht="13.5" thickBot="1">
      <c r="A6" s="2"/>
      <c r="B6" s="25"/>
      <c r="C6" s="170"/>
      <c r="D6" s="171"/>
      <c r="E6" s="171"/>
      <c r="F6" s="171"/>
      <c r="G6" s="172"/>
      <c r="H6" s="42"/>
      <c r="I6" s="42"/>
      <c r="J6" s="163"/>
      <c r="K6" s="26"/>
      <c r="L6" s="26"/>
      <c r="M6" s="29"/>
      <c r="N6" s="58"/>
      <c r="O6" s="53">
        <v>2</v>
      </c>
      <c r="P6" s="54">
        <v>2</v>
      </c>
      <c r="Q6" s="60">
        <f>IF(AND($F$9=1,$F$10=2)=TRUE,2,"")</f>
      </c>
      <c r="R6" s="61">
        <f>IF(AND($F$9=2,$F$10=2)=TRUE,2,"")</f>
      </c>
      <c r="S6" s="62">
        <f>IF(AND($F$9=3,$F$10=2)=TRUE,2,"")</f>
      </c>
      <c r="T6" s="62">
        <f>IF(AND($F$9=4,$F$10=2)=TRUE,2,"")</f>
      </c>
      <c r="U6" s="2"/>
      <c r="V6" s="60">
        <f>IF(AND($F$31=1,$F$32=2)=TRUE,2,"")</f>
      </c>
      <c r="W6" s="61">
        <f>IF(AND($F$31=2,$F$32=2)=TRUE,2,"")</f>
      </c>
      <c r="X6" s="62">
        <f>IF(AND($F$31=3,$F$32=2)=TRUE,2,"")</f>
      </c>
      <c r="Y6" s="62">
        <f>IF(AND($F$31=4,$F$32=2)=TRUE,2,"")</f>
      </c>
      <c r="Z6" s="45">
        <f aca="true" t="shared" si="8" ref="Z6:Z48">1+Z5</f>
        <v>3</v>
      </c>
      <c r="AA6" s="138" t="s">
        <v>26</v>
      </c>
      <c r="AB6" s="139">
        <f t="shared" si="1"/>
      </c>
      <c r="AC6" s="58"/>
      <c r="AD6" s="63">
        <f t="shared" si="2"/>
        <v>1</v>
      </c>
      <c r="AE6" s="63">
        <f>IF(AA6="",$AC$51*(-AD6),$AC$51*AD6)</f>
        <v>15</v>
      </c>
      <c r="AF6" s="63">
        <f>SUM($AE$4:AE6)</f>
        <v>45</v>
      </c>
      <c r="AG6" s="47">
        <f t="shared" si="3"/>
        <v>1</v>
      </c>
      <c r="AH6" s="47">
        <f t="shared" si="4"/>
        <v>1</v>
      </c>
      <c r="AI6" s="64">
        <f t="shared" si="5"/>
        <v>3</v>
      </c>
      <c r="AJ6" s="64">
        <f aca="true" t="shared" si="9" ref="AJ6:AJ48">IF(AB6="",$AC$51*(-AI6),$AC$51*AI6)</f>
        <v>-45</v>
      </c>
      <c r="AK6" s="64">
        <f>SUM($AJ$4:AJ6)</f>
        <v>-90</v>
      </c>
      <c r="AL6" s="50">
        <f t="shared" si="6"/>
        <v>0</v>
      </c>
      <c r="AM6" s="50">
        <f t="shared" si="7"/>
        <v>0</v>
      </c>
      <c r="AN6" s="50">
        <f t="shared" si="0"/>
        <v>0</v>
      </c>
      <c r="AO6" s="2"/>
      <c r="AP6" s="2"/>
      <c r="AR6" s="51"/>
      <c r="AS6" s="51"/>
      <c r="AT6" s="59"/>
      <c r="AX6" s="51"/>
      <c r="AZ6" s="51"/>
      <c r="BB6" s="51"/>
    </row>
    <row r="7" spans="1:54" ht="13.5" thickTop="1">
      <c r="A7" s="2"/>
      <c r="B7" s="25"/>
      <c r="C7" s="26"/>
      <c r="D7" s="26"/>
      <c r="E7" s="26"/>
      <c r="F7" s="26"/>
      <c r="G7" s="26"/>
      <c r="H7" s="65"/>
      <c r="I7" s="42"/>
      <c r="J7" s="163"/>
      <c r="K7" s="26"/>
      <c r="L7" s="26"/>
      <c r="M7" s="29"/>
      <c r="N7" s="2"/>
      <c r="O7" s="53">
        <v>3</v>
      </c>
      <c r="P7" s="54">
        <v>3</v>
      </c>
      <c r="Q7" s="60">
        <f>IF(AND($F$9=1,$F$10=3)=TRUE,3,"")</f>
      </c>
      <c r="R7" s="61">
        <f>IF(AND($F$9=2,$F$10=3)=TRUE,3,"")</f>
      </c>
      <c r="S7" s="62">
        <f>IF(AND($F$9=3,$F$10=3)=TRUE,3,"")</f>
      </c>
      <c r="T7" s="62">
        <f>IF(AND($F$9=4,$F$10=3)=TRUE,3,"")</f>
      </c>
      <c r="U7" s="2"/>
      <c r="V7" s="60">
        <f>IF(AND($F$31=1,$F$32=3)=TRUE,3,"")</f>
      </c>
      <c r="W7" s="61">
        <f>IF(AND($F$31=2,$F$32=3)=TRUE,3,"")</f>
      </c>
      <c r="X7" s="62">
        <f>IF(AND($F$31=3,$F$32=3)=TRUE,3,"")</f>
      </c>
      <c r="Y7" s="62">
        <f>IF(AND($F$31=4,$F$32=3)=TRUE,3,"")</f>
      </c>
      <c r="Z7" s="45">
        <f t="shared" si="8"/>
        <v>4</v>
      </c>
      <c r="AA7" s="136" t="s">
        <v>26</v>
      </c>
      <c r="AB7" s="137">
        <f t="shared" si="1"/>
      </c>
      <c r="AC7" s="1"/>
      <c r="AD7" s="46">
        <f t="shared" si="2"/>
        <v>1</v>
      </c>
      <c r="AE7" s="46">
        <f>IF(AA7="",$AC$51*(-AD7),$AC$51*AD7)</f>
        <v>15</v>
      </c>
      <c r="AF7" s="46">
        <f>SUM($AE$4:AE7)</f>
        <v>60</v>
      </c>
      <c r="AG7" s="47">
        <f t="shared" si="3"/>
        <v>1</v>
      </c>
      <c r="AH7" s="47">
        <f t="shared" si="4"/>
        <v>1</v>
      </c>
      <c r="AI7" s="66">
        <f t="shared" si="5"/>
        <v>5</v>
      </c>
      <c r="AJ7" s="66">
        <f t="shared" si="9"/>
        <v>-75</v>
      </c>
      <c r="AK7" s="66">
        <f>SUM($AJ$4:AJ7)</f>
        <v>-165</v>
      </c>
      <c r="AL7" s="50">
        <f t="shared" si="6"/>
        <v>0</v>
      </c>
      <c r="AM7" s="50">
        <f t="shared" si="7"/>
        <v>0</v>
      </c>
      <c r="AN7" s="50">
        <f t="shared" si="0"/>
        <v>0</v>
      </c>
      <c r="AO7" s="2"/>
      <c r="AP7" s="2"/>
      <c r="AR7" s="51"/>
      <c r="AS7" s="51"/>
      <c r="AT7" s="59"/>
      <c r="AX7" s="51"/>
      <c r="AZ7" s="51"/>
      <c r="BB7" s="51"/>
    </row>
    <row r="8" spans="1:54" ht="13.5" thickBot="1">
      <c r="A8" s="2"/>
      <c r="B8" s="25"/>
      <c r="C8" s="26"/>
      <c r="D8" s="26"/>
      <c r="E8" s="26"/>
      <c r="F8" s="67"/>
      <c r="G8" s="26"/>
      <c r="H8" s="26"/>
      <c r="I8" s="26"/>
      <c r="J8" s="26"/>
      <c r="K8" s="26"/>
      <c r="L8" s="26"/>
      <c r="M8" s="29"/>
      <c r="N8" s="2"/>
      <c r="O8" s="53">
        <v>4</v>
      </c>
      <c r="P8" s="54">
        <v>4</v>
      </c>
      <c r="Q8" s="60">
        <f>IF(AND($F$9=1,$F$10=4)=TRUE,4,"")</f>
      </c>
      <c r="R8" s="61">
        <f>IF(AND($F$9=2,$F$10=4)=TRUE,4,"")</f>
      </c>
      <c r="S8" s="62">
        <f>IF(AND($F$9=3,$F$10=4)=TRUE,4,"")</f>
      </c>
      <c r="T8" s="62">
        <f>IF(AND($F$9=4,$F$10=4)=TRUE,4,"")</f>
      </c>
      <c r="U8" s="2"/>
      <c r="V8" s="60">
        <f>IF(AND($F$31=1,$F$32=4)=TRUE,4,"")</f>
      </c>
      <c r="W8" s="61">
        <f>IF(AND($F$31=2,$F$32=4)=TRUE,4,"")</f>
      </c>
      <c r="X8" s="62">
        <f>IF(AND($F$31=3,$F$32=4)=TRUE,4,"")</f>
      </c>
      <c r="Y8" s="62">
        <f>IF(AND($F$31=4,$F$32=4)=TRUE,4,"")</f>
      </c>
      <c r="Z8" s="45">
        <f t="shared" si="8"/>
        <v>5</v>
      </c>
      <c r="AA8" s="136" t="s">
        <v>27</v>
      </c>
      <c r="AB8" s="137" t="str">
        <f t="shared" si="1"/>
        <v>Win</v>
      </c>
      <c r="AC8" s="1"/>
      <c r="AD8" s="46">
        <f t="shared" si="2"/>
        <v>1</v>
      </c>
      <c r="AE8" s="46">
        <f>IF(AA8="",$AC$51*(-AD8),$AC$51*AD8)</f>
        <v>-15</v>
      </c>
      <c r="AF8" s="46">
        <f>SUM($AE$4:AE8)</f>
        <v>45</v>
      </c>
      <c r="AG8" s="47">
        <f t="shared" si="3"/>
        <v>1</v>
      </c>
      <c r="AH8" s="47">
        <f t="shared" si="4"/>
        <v>1</v>
      </c>
      <c r="AI8" s="48">
        <f t="shared" si="5"/>
        <v>8</v>
      </c>
      <c r="AJ8" s="49">
        <f t="shared" si="9"/>
        <v>120</v>
      </c>
      <c r="AK8" s="49">
        <f>SUM($AJ$4:AJ8)</f>
        <v>-45</v>
      </c>
      <c r="AL8" s="50">
        <f t="shared" si="6"/>
        <v>0</v>
      </c>
      <c r="AM8" s="50">
        <f t="shared" si="7"/>
        <v>0</v>
      </c>
      <c r="AN8" s="50">
        <f t="shared" si="0"/>
        <v>120</v>
      </c>
      <c r="AO8" s="2"/>
      <c r="AP8" s="2"/>
      <c r="AR8" s="51"/>
      <c r="AS8" s="51"/>
      <c r="AT8" s="59"/>
      <c r="AX8" s="51"/>
      <c r="AZ8" s="51"/>
      <c r="BB8" s="51"/>
    </row>
    <row r="9" spans="1:54" ht="12.75" customHeight="1">
      <c r="A9" s="2"/>
      <c r="B9" s="25"/>
      <c r="C9" s="152" t="s">
        <v>15</v>
      </c>
      <c r="D9" s="68"/>
      <c r="E9" s="69" t="s">
        <v>7</v>
      </c>
      <c r="F9" s="70">
        <f>RANDBETWEEN(1,4)</f>
        <v>3</v>
      </c>
      <c r="G9" s="154">
        <f>IF(SUM(Q5:T17)=10,0,SUM(Q5:T17))</f>
        <v>8</v>
      </c>
      <c r="H9" s="26"/>
      <c r="I9" s="26"/>
      <c r="J9" s="175" t="str">
        <f>IF(OR($L$12=8,$L$12=9),"NATURAL",IF(OR($L$12&lt;=5,$L$12=""),"GOT A CARD","HOLD"))</f>
        <v>NATURAL</v>
      </c>
      <c r="K9" s="26"/>
      <c r="L9" s="26"/>
      <c r="M9" s="29"/>
      <c r="N9" s="2"/>
      <c r="O9" s="53">
        <v>5</v>
      </c>
      <c r="P9" s="54">
        <v>5</v>
      </c>
      <c r="Q9" s="60">
        <f>IF(AND($F$9=1,$F$10=5)=TRUE,5,"")</f>
      </c>
      <c r="R9" s="61">
        <f>IF(AND($F$9=2,$F$10=5)=TRUE,5,"")</f>
      </c>
      <c r="S9" s="62">
        <f>IF(AND($F$9=3,$F$10=5)=TRUE,5,"")</f>
      </c>
      <c r="T9" s="62">
        <f>IF(AND($F$9=4,$F$10=5)=TRUE,5,"")</f>
      </c>
      <c r="U9" s="2"/>
      <c r="V9" s="60">
        <f>IF(AND($F$31=1,$F$32=5)=TRUE,5,"")</f>
      </c>
      <c r="W9" s="61">
        <f>IF(AND($F$31=2,$F$32=5)=TRUE,5,"")</f>
      </c>
      <c r="X9" s="62">
        <f>IF(AND($F$31=3,$F$32=5)=TRUE,5,"")</f>
      </c>
      <c r="Y9" s="62">
        <f>IF(AND($F$31=4,$F$32=5)=TRUE,5,"")</f>
      </c>
      <c r="Z9" s="45">
        <f t="shared" si="8"/>
        <v>6</v>
      </c>
      <c r="AA9" s="138" t="s">
        <v>27</v>
      </c>
      <c r="AB9" s="139" t="str">
        <f t="shared" si="1"/>
        <v>Win</v>
      </c>
      <c r="AC9" s="58"/>
      <c r="AD9" s="63">
        <f t="shared" si="2"/>
        <v>2</v>
      </c>
      <c r="AE9" s="63">
        <f>IF(AA9="",$AC$51*(-AD9),$AC$51*AD9)</f>
        <v>-30</v>
      </c>
      <c r="AF9" s="63">
        <f>SUM($AE$4:AE9)</f>
        <v>15</v>
      </c>
      <c r="AG9" s="47">
        <f t="shared" si="3"/>
        <v>0</v>
      </c>
      <c r="AH9" s="47">
        <f t="shared" si="4"/>
        <v>0</v>
      </c>
      <c r="AI9" s="64">
        <f t="shared" si="5"/>
        <v>5</v>
      </c>
      <c r="AJ9" s="64">
        <f t="shared" si="9"/>
        <v>75</v>
      </c>
      <c r="AK9" s="64">
        <f>SUM($AJ$4:AJ9)</f>
        <v>30</v>
      </c>
      <c r="AL9" s="50">
        <f t="shared" si="6"/>
        <v>5</v>
      </c>
      <c r="AM9" s="50">
        <f t="shared" si="7"/>
        <v>5</v>
      </c>
      <c r="AN9" s="50">
        <f t="shared" si="0"/>
        <v>75</v>
      </c>
      <c r="AO9" s="2"/>
      <c r="AP9" s="2"/>
      <c r="AR9" s="51"/>
      <c r="AS9" s="51"/>
      <c r="AT9" s="59"/>
      <c r="AX9" s="51"/>
      <c r="AZ9" s="51"/>
      <c r="BB9" s="51"/>
    </row>
    <row r="10" spans="1:54" ht="12.75">
      <c r="A10" s="2"/>
      <c r="B10" s="25"/>
      <c r="C10" s="153"/>
      <c r="D10" s="71"/>
      <c r="E10" s="72" t="s">
        <v>8</v>
      </c>
      <c r="F10" s="73">
        <f>RANDBETWEEN(1,13)</f>
        <v>8</v>
      </c>
      <c r="G10" s="154"/>
      <c r="H10" s="26"/>
      <c r="I10" s="26"/>
      <c r="J10" s="176"/>
      <c r="K10" s="26"/>
      <c r="L10" s="26"/>
      <c r="M10" s="29"/>
      <c r="N10" s="2"/>
      <c r="O10" s="53">
        <v>6</v>
      </c>
      <c r="P10" s="54">
        <v>6</v>
      </c>
      <c r="Q10" s="60">
        <f>IF(AND($F$9=1,$F$10=6)=TRUE,6,"")</f>
      </c>
      <c r="R10" s="61">
        <f>IF(AND($F$9=2,$F$10=6)=TRUE,6,"")</f>
      </c>
      <c r="S10" s="62">
        <f>IF(AND($F$9=3,$F$10=6)=TRUE,6,"")</f>
      </c>
      <c r="T10" s="62">
        <f>IF(AND($F$9=4,$F$10=6)=TRUE,6,"")</f>
      </c>
      <c r="U10" s="2"/>
      <c r="V10" s="60">
        <f>IF(AND($F$31=1,$F$32=6)=TRUE,6,"")</f>
      </c>
      <c r="W10" s="61">
        <f>IF(AND($F$31=2,$F$32=6)=TRUE,6,"")</f>
      </c>
      <c r="X10" s="62">
        <f>IF(AND($F$31=3,$F$32=6)=TRUE,6,"")</f>
      </c>
      <c r="Y10" s="62">
        <f>IF(AND($F$31=4,$F$32=6)=TRUE,6,"")</f>
      </c>
      <c r="Z10" s="45">
        <f t="shared" si="8"/>
        <v>7</v>
      </c>
      <c r="AA10" s="136" t="s">
        <v>26</v>
      </c>
      <c r="AB10" s="137">
        <f t="shared" si="1"/>
      </c>
      <c r="AC10" s="1"/>
      <c r="AD10" s="46">
        <f t="shared" si="2"/>
        <v>3</v>
      </c>
      <c r="AE10" s="46">
        <f aca="true" t="shared" si="10" ref="AE10:AE48">IF(AA10="",$AC$51*(-AD10),$AC$51*AD10)</f>
        <v>45</v>
      </c>
      <c r="AF10" s="46">
        <f>SUM($AE$4:AE10)</f>
        <v>60</v>
      </c>
      <c r="AG10" s="47">
        <f t="shared" si="3"/>
        <v>0</v>
      </c>
      <c r="AH10" s="47">
        <f t="shared" si="4"/>
        <v>0</v>
      </c>
      <c r="AI10" s="48">
        <f t="shared" si="5"/>
        <v>3</v>
      </c>
      <c r="AJ10" s="49">
        <f t="shared" si="9"/>
        <v>-45</v>
      </c>
      <c r="AK10" s="49">
        <f>SUM($AJ$4:AJ10)</f>
        <v>-15</v>
      </c>
      <c r="AL10" s="50">
        <f t="shared" si="6"/>
        <v>3</v>
      </c>
      <c r="AM10" s="50">
        <f t="shared" si="7"/>
        <v>3</v>
      </c>
      <c r="AN10" s="50">
        <f t="shared" si="0"/>
        <v>0</v>
      </c>
      <c r="AO10" s="2"/>
      <c r="AP10" s="2"/>
      <c r="AR10" s="51"/>
      <c r="AS10" s="51"/>
      <c r="AT10" s="59"/>
      <c r="AX10" s="51"/>
      <c r="AZ10" s="51"/>
      <c r="BB10" s="51"/>
    </row>
    <row r="11" spans="1:54" ht="13.5" thickBot="1">
      <c r="A11" s="2"/>
      <c r="B11" s="25"/>
      <c r="C11" s="74"/>
      <c r="D11" s="75"/>
      <c r="E11" s="26"/>
      <c r="F11" s="76"/>
      <c r="G11" s="77"/>
      <c r="H11" s="26"/>
      <c r="I11" s="26"/>
      <c r="J11" s="177"/>
      <c r="K11" s="26"/>
      <c r="L11" s="26"/>
      <c r="M11" s="29"/>
      <c r="N11" s="181" t="s">
        <v>30</v>
      </c>
      <c r="O11" s="53">
        <v>7</v>
      </c>
      <c r="P11" s="54">
        <v>7</v>
      </c>
      <c r="Q11" s="60">
        <f>IF(AND($F$9=1,$F$10=7)=TRUE,7,"")</f>
      </c>
      <c r="R11" s="61">
        <f>IF(AND($F$9=2,$F$10=7)=TRUE,7,"")</f>
      </c>
      <c r="S11" s="62">
        <f>IF(AND($F$9=3,$F$10=7)=TRUE,7,"")</f>
      </c>
      <c r="T11" s="62">
        <f>IF(AND($F$9=4,$F$10=7)=TRUE,7,"")</f>
      </c>
      <c r="U11" s="2"/>
      <c r="V11" s="60">
        <f>IF(AND($F$31=1,$F$32=7)=TRUE,7,"")</f>
      </c>
      <c r="W11" s="61">
        <f>IF(AND($F$31=2,$F$32=7)=TRUE,7,"")</f>
      </c>
      <c r="X11" s="62">
        <f>IF(AND($F$31=3,$F$32=7)=TRUE,7,"")</f>
      </c>
      <c r="Y11" s="62">
        <f>IF(AND($F$31=4,$F$32=7)=TRUE,7,"")</f>
      </c>
      <c r="Z11" s="45">
        <f t="shared" si="8"/>
        <v>8</v>
      </c>
      <c r="AA11" s="136" t="s">
        <v>26</v>
      </c>
      <c r="AB11" s="137">
        <f t="shared" si="1"/>
      </c>
      <c r="AC11" s="1"/>
      <c r="AD11" s="46">
        <f t="shared" si="2"/>
        <v>2</v>
      </c>
      <c r="AE11" s="46">
        <f t="shared" si="10"/>
        <v>30</v>
      </c>
      <c r="AF11" s="46">
        <f>SUM($AE$4:AE11)</f>
        <v>90</v>
      </c>
      <c r="AG11" s="47">
        <f t="shared" si="3"/>
        <v>2</v>
      </c>
      <c r="AH11" s="47">
        <f t="shared" si="4"/>
        <v>2</v>
      </c>
      <c r="AI11" s="48">
        <f t="shared" si="5"/>
        <v>5</v>
      </c>
      <c r="AJ11" s="49">
        <f t="shared" si="9"/>
        <v>-75</v>
      </c>
      <c r="AK11" s="49">
        <f>SUM($AJ$4:AJ11)</f>
        <v>-90</v>
      </c>
      <c r="AL11" s="50">
        <f t="shared" si="6"/>
        <v>0</v>
      </c>
      <c r="AM11" s="50">
        <f t="shared" si="7"/>
        <v>0</v>
      </c>
      <c r="AN11" s="50">
        <f t="shared" si="0"/>
        <v>0</v>
      </c>
      <c r="AO11" s="2"/>
      <c r="AP11" s="2"/>
      <c r="AR11" s="51"/>
      <c r="AS11" s="51"/>
      <c r="AT11" s="59"/>
      <c r="AX11" s="51"/>
      <c r="AZ11" s="51"/>
      <c r="BB11" s="51"/>
    </row>
    <row r="12" spans="1:54" ht="13.5" thickBot="1">
      <c r="A12" s="2"/>
      <c r="B12" s="25"/>
      <c r="C12" s="74"/>
      <c r="D12" s="75"/>
      <c r="E12" s="26"/>
      <c r="F12" s="76"/>
      <c r="G12" s="77"/>
      <c r="H12" s="26"/>
      <c r="I12" s="26"/>
      <c r="J12" s="26"/>
      <c r="K12" s="26"/>
      <c r="L12" s="78">
        <f>IF(SUM($G$9:$G$14)&gt;30,SUM($G$9:$G$14)-30,IF(SUM($G$9:$G$14)&gt;20,SUM($G$9:$G$14)-20,IF(SUM($G$9:$G$14)&gt;=10,SUM($G$9:$G$14)-10,SUM($G$9:$G$14))))</f>
        <v>8</v>
      </c>
      <c r="M12" s="29"/>
      <c r="N12" s="182"/>
      <c r="O12" s="53">
        <v>8</v>
      </c>
      <c r="P12" s="54">
        <v>8</v>
      </c>
      <c r="Q12" s="60">
        <f>IF(AND($F$9=1,$F$10=8)=TRUE,8,"")</f>
      </c>
      <c r="R12" s="61">
        <f>IF(AND($F$9=2,$F$10=8)=TRUE,8,"")</f>
      </c>
      <c r="S12" s="62">
        <f>IF(AND($F$9=3,$F$10=8)=TRUE,8,"")</f>
        <v>8</v>
      </c>
      <c r="T12" s="62">
        <f>IF(AND($F$9=4,$F$10=8)=TRUE,8,"")</f>
      </c>
      <c r="U12" s="2"/>
      <c r="V12" s="60">
        <f>IF(AND($F$31=1,$F$32=8)=TRUE,8,"")</f>
      </c>
      <c r="W12" s="61">
        <f>IF(AND($F$31=2,$F$32=8)=TRUE,8,"")</f>
      </c>
      <c r="X12" s="62">
        <f>IF(AND($F$31=3,$F$32=8)=TRUE,8,"")</f>
      </c>
      <c r="Y12" s="62">
        <f>IF(AND($F$31=4,$F$32=8)=TRUE,8,"")</f>
      </c>
      <c r="Z12" s="45">
        <f t="shared" si="8"/>
        <v>9</v>
      </c>
      <c r="AA12" s="138" t="s">
        <v>27</v>
      </c>
      <c r="AB12" s="139" t="str">
        <f t="shared" si="1"/>
        <v>Win</v>
      </c>
      <c r="AC12" s="1"/>
      <c r="AD12" s="63">
        <f t="shared" si="2"/>
        <v>1</v>
      </c>
      <c r="AE12" s="63">
        <f t="shared" si="10"/>
        <v>-15</v>
      </c>
      <c r="AF12" s="63">
        <f>SUM($AE$4:AE12)</f>
        <v>75</v>
      </c>
      <c r="AG12" s="47">
        <f t="shared" si="3"/>
        <v>1</v>
      </c>
      <c r="AH12" s="47">
        <f t="shared" si="4"/>
        <v>1</v>
      </c>
      <c r="AI12" s="64">
        <f t="shared" si="5"/>
        <v>8</v>
      </c>
      <c r="AJ12" s="64">
        <f t="shared" si="9"/>
        <v>120</v>
      </c>
      <c r="AK12" s="64">
        <f>SUM($AJ$4:AJ12)</f>
        <v>30</v>
      </c>
      <c r="AL12" s="50">
        <f t="shared" si="6"/>
        <v>0</v>
      </c>
      <c r="AM12" s="50">
        <f t="shared" si="7"/>
        <v>0</v>
      </c>
      <c r="AN12" s="50">
        <f t="shared" si="0"/>
        <v>120</v>
      </c>
      <c r="AO12" s="2"/>
      <c r="AP12" s="2"/>
      <c r="AR12" s="51"/>
      <c r="AS12" s="51"/>
      <c r="AT12" s="59"/>
      <c r="AX12" s="51"/>
      <c r="AZ12" s="51"/>
      <c r="BB12" s="51"/>
    </row>
    <row r="13" spans="1:54" ht="12.75" customHeight="1" thickTop="1">
      <c r="A13" s="2"/>
      <c r="B13" s="25"/>
      <c r="C13" s="152" t="s">
        <v>16</v>
      </c>
      <c r="D13" s="79"/>
      <c r="E13" s="80" t="s">
        <v>7</v>
      </c>
      <c r="F13" s="81">
        <f>RANDBETWEEN(1,4)</f>
        <v>3</v>
      </c>
      <c r="G13" s="154">
        <f>IF(SUM(Q20:T32)=10,0,SUM(Q20:T32))</f>
        <v>0</v>
      </c>
      <c r="H13" s="26"/>
      <c r="I13" s="204" t="str">
        <f>IF(J9="GOT A CARD","","2-CARD VALUE =")</f>
        <v>2-CARD VALUE =</v>
      </c>
      <c r="J13" s="205"/>
      <c r="K13" s="206"/>
      <c r="L13" s="161">
        <f>IF(I13="","",L12)</f>
        <v>8</v>
      </c>
      <c r="M13" s="29"/>
      <c r="N13" s="182"/>
      <c r="O13" s="53">
        <v>9</v>
      </c>
      <c r="P13" s="54">
        <v>9</v>
      </c>
      <c r="Q13" s="82">
        <f>IF(AND($F$9=1,$F$10=9)=TRUE,9,"")</f>
      </c>
      <c r="R13" s="83">
        <f>IF(AND($F$9=2,$F$10=9)=TRUE,9,"")</f>
      </c>
      <c r="S13" s="84">
        <f>IF(AND($F$9=3,$F$10=9)=TRUE,9,"")</f>
      </c>
      <c r="T13" s="84">
        <f>IF(AND($F$9=4,$F$10=9)=TRUE,9,"")</f>
      </c>
      <c r="U13" s="2"/>
      <c r="V13" s="82">
        <f>IF(AND($F$31=1,$F$32=9)=TRUE,9,"")</f>
      </c>
      <c r="W13" s="83">
        <f>IF(AND($F$31=2,$F$32=9)=TRUE,9,"")</f>
      </c>
      <c r="X13" s="84">
        <f>IF(AND($F$31=3,$F$32=9)=TRUE,9,"")</f>
      </c>
      <c r="Y13" s="84">
        <f>IF(AND($F$31=4,$F$32=9)=TRUE,9,"")</f>
      </c>
      <c r="Z13" s="45">
        <f t="shared" si="8"/>
        <v>10</v>
      </c>
      <c r="AA13" s="136" t="s">
        <v>27</v>
      </c>
      <c r="AB13" s="137" t="str">
        <f t="shared" si="1"/>
        <v>Win</v>
      </c>
      <c r="AC13" s="1"/>
      <c r="AD13" s="46">
        <f t="shared" si="2"/>
        <v>2</v>
      </c>
      <c r="AE13" s="46">
        <f t="shared" si="10"/>
        <v>-30</v>
      </c>
      <c r="AF13" s="46">
        <f>SUM($AE$4:AE13)</f>
        <v>45</v>
      </c>
      <c r="AG13" s="47">
        <f t="shared" si="3"/>
        <v>0</v>
      </c>
      <c r="AH13" s="47">
        <f t="shared" si="4"/>
        <v>0</v>
      </c>
      <c r="AI13" s="48">
        <f t="shared" si="5"/>
        <v>5</v>
      </c>
      <c r="AJ13" s="49">
        <f t="shared" si="9"/>
        <v>75</v>
      </c>
      <c r="AK13" s="49">
        <f>SUM($AJ$4:AJ13)</f>
        <v>105</v>
      </c>
      <c r="AL13" s="50">
        <f t="shared" si="6"/>
        <v>5</v>
      </c>
      <c r="AM13" s="50">
        <f t="shared" si="7"/>
        <v>5</v>
      </c>
      <c r="AN13" s="50">
        <f t="shared" si="0"/>
        <v>75</v>
      </c>
      <c r="AO13" s="2"/>
      <c r="AP13" s="2"/>
      <c r="AR13" s="51"/>
      <c r="AS13" s="51"/>
      <c r="AT13" s="59"/>
      <c r="AX13" s="51"/>
      <c r="AZ13" s="51"/>
      <c r="BB13" s="51"/>
    </row>
    <row r="14" spans="1:54" ht="13.5" thickBot="1">
      <c r="A14" s="2"/>
      <c r="B14" s="25"/>
      <c r="C14" s="153"/>
      <c r="D14" s="85"/>
      <c r="E14" s="86" t="s">
        <v>8</v>
      </c>
      <c r="F14" s="87">
        <f>RANDBETWEEN(1,13)</f>
        <v>10</v>
      </c>
      <c r="G14" s="154"/>
      <c r="H14" s="26"/>
      <c r="I14" s="207"/>
      <c r="J14" s="208"/>
      <c r="K14" s="209"/>
      <c r="L14" s="161"/>
      <c r="M14" s="29"/>
      <c r="N14" s="182"/>
      <c r="O14" s="53">
        <v>0</v>
      </c>
      <c r="P14" s="54">
        <v>10</v>
      </c>
      <c r="Q14" s="60">
        <f>IF(AND($F$9=1,$F$10=10)=TRUE,10,"")</f>
      </c>
      <c r="R14" s="61">
        <f>IF(AND($F$9=2,$F$10=10)=TRUE,10,"")</f>
      </c>
      <c r="S14" s="62">
        <f>IF(AND($F$9=3,$F$10=10)=TRUE,10,"")</f>
      </c>
      <c r="T14" s="62">
        <f>IF(AND($F$9=4,$F$10=10)=TRUE,10,"")</f>
      </c>
      <c r="U14" s="2"/>
      <c r="V14" s="60">
        <f>IF(AND($F$31=1,$F$32=10)=TRUE,10,"")</f>
      </c>
      <c r="W14" s="61">
        <f>IF(AND($F$31=2,$F$32=10)=TRUE,10,"")</f>
      </c>
      <c r="X14" s="62">
        <f>IF(AND($F$31=3,$F$32=10)=TRUE,10,"")</f>
        <v>10</v>
      </c>
      <c r="Y14" s="62">
        <f>IF(AND($F$31=4,$F$32=10)=TRUE,10,"")</f>
      </c>
      <c r="Z14" s="45">
        <f t="shared" si="8"/>
        <v>11</v>
      </c>
      <c r="AA14" s="136" t="s">
        <v>27</v>
      </c>
      <c r="AB14" s="137" t="str">
        <f t="shared" si="1"/>
        <v>Win</v>
      </c>
      <c r="AC14" s="1"/>
      <c r="AD14" s="46">
        <f t="shared" si="2"/>
        <v>3</v>
      </c>
      <c r="AE14" s="46">
        <f t="shared" si="10"/>
        <v>-45</v>
      </c>
      <c r="AF14" s="46">
        <f>SUM($AE$4:AE14)</f>
        <v>0</v>
      </c>
      <c r="AG14" s="47">
        <f t="shared" si="3"/>
        <v>0</v>
      </c>
      <c r="AH14" s="47">
        <f t="shared" si="4"/>
        <v>0</v>
      </c>
      <c r="AI14" s="48">
        <f t="shared" si="5"/>
        <v>3</v>
      </c>
      <c r="AJ14" s="49">
        <f t="shared" si="9"/>
        <v>45</v>
      </c>
      <c r="AK14" s="49">
        <f>SUM($AJ$4:AJ14)</f>
        <v>150</v>
      </c>
      <c r="AL14" s="50">
        <f t="shared" si="6"/>
        <v>3</v>
      </c>
      <c r="AM14" s="50">
        <f t="shared" si="7"/>
        <v>3</v>
      </c>
      <c r="AN14" s="50">
        <f t="shared" si="0"/>
        <v>45</v>
      </c>
      <c r="AO14" s="2"/>
      <c r="AP14" s="2"/>
      <c r="AR14" s="51"/>
      <c r="AS14" s="51"/>
      <c r="AT14" s="59"/>
      <c r="AX14" s="51"/>
      <c r="AZ14" s="51"/>
      <c r="BB14" s="51"/>
    </row>
    <row r="15" spans="1:54" ht="13.5" thickTop="1">
      <c r="A15" s="2"/>
      <c r="B15" s="25"/>
      <c r="C15" s="74"/>
      <c r="D15" s="75"/>
      <c r="E15" s="26"/>
      <c r="F15" s="76"/>
      <c r="G15" s="77"/>
      <c r="H15" s="26"/>
      <c r="I15" s="26"/>
      <c r="J15" s="26"/>
      <c r="K15" s="26"/>
      <c r="L15" s="26"/>
      <c r="M15" s="29"/>
      <c r="N15" s="182"/>
      <c r="O15" s="53">
        <v>0</v>
      </c>
      <c r="P15" s="54" t="s">
        <v>10</v>
      </c>
      <c r="Q15" s="60">
        <f>IF(AND($F$9=1,$F$10=11)=TRUE,"J","")</f>
      </c>
      <c r="R15" s="61">
        <f>IF(AND($F$9=2,$F$10=11)=TRUE,"J","")</f>
      </c>
      <c r="S15" s="62">
        <f>IF(AND($F$9=3,$F$10=11)=TRUE,"J","")</f>
      </c>
      <c r="T15" s="62">
        <f>IF(AND($F$9=4,$F$10=11)=TRUE,"J","")</f>
      </c>
      <c r="U15" s="2"/>
      <c r="V15" s="60">
        <f>IF(AND($F$31=1,$F$32=11)=TRUE,"J","")</f>
      </c>
      <c r="W15" s="61">
        <f>IF(AND($F$31=2,$F$32=11)=TRUE,"J","")</f>
      </c>
      <c r="X15" s="62">
        <f>IF(AND($F$31=3,$F$32=11)=TRUE,"J","")</f>
      </c>
      <c r="Y15" s="62">
        <f>IF(AND($F$31=4,$F$32=11)=TRUE,"J","")</f>
      </c>
      <c r="Z15" s="45">
        <f t="shared" si="8"/>
        <v>12</v>
      </c>
      <c r="AA15" s="138" t="s">
        <v>27</v>
      </c>
      <c r="AB15" s="139" t="str">
        <f t="shared" si="1"/>
        <v>Win</v>
      </c>
      <c r="AC15" s="1"/>
      <c r="AD15" s="63">
        <f t="shared" si="2"/>
        <v>5</v>
      </c>
      <c r="AE15" s="63">
        <f t="shared" si="10"/>
        <v>-75</v>
      </c>
      <c r="AF15" s="63">
        <f>SUM($AE$4:AE15)</f>
        <v>-75</v>
      </c>
      <c r="AG15" s="47">
        <f t="shared" si="3"/>
        <v>0</v>
      </c>
      <c r="AH15" s="47">
        <f t="shared" si="4"/>
        <v>0</v>
      </c>
      <c r="AI15" s="64">
        <f t="shared" si="5"/>
        <v>2</v>
      </c>
      <c r="AJ15" s="64">
        <f t="shared" si="9"/>
        <v>30</v>
      </c>
      <c r="AK15" s="64">
        <f>SUM($AJ$4:AJ15)</f>
        <v>180</v>
      </c>
      <c r="AL15" s="50">
        <f t="shared" si="6"/>
        <v>2</v>
      </c>
      <c r="AM15" s="50">
        <f t="shared" si="7"/>
        <v>2</v>
      </c>
      <c r="AN15" s="50">
        <f t="shared" si="0"/>
        <v>30</v>
      </c>
      <c r="AO15" s="2"/>
      <c r="AP15" s="2"/>
      <c r="AR15" s="51"/>
      <c r="AS15" s="51"/>
      <c r="AT15" s="59"/>
      <c r="AX15" s="51"/>
      <c r="AZ15" s="51"/>
      <c r="BB15" s="51"/>
    </row>
    <row r="16" spans="1:54" ht="13.5" thickBot="1">
      <c r="A16" s="2"/>
      <c r="B16" s="25"/>
      <c r="C16" s="74"/>
      <c r="D16" s="75"/>
      <c r="E16" s="26"/>
      <c r="F16" s="76"/>
      <c r="G16" s="77"/>
      <c r="H16" s="26"/>
      <c r="I16" s="26"/>
      <c r="J16" s="26"/>
      <c r="K16" s="26"/>
      <c r="L16" s="26"/>
      <c r="M16" s="29"/>
      <c r="N16" s="182"/>
      <c r="O16" s="53">
        <v>0</v>
      </c>
      <c r="P16" s="54" t="s">
        <v>11</v>
      </c>
      <c r="Q16" s="60">
        <f>IF(AND($F$9=1,$F$10=12)=TRUE,"Q","")</f>
      </c>
      <c r="R16" s="61">
        <f>IF(AND($F$9=2,$F$10=12)=TRUE,"Q","")</f>
      </c>
      <c r="S16" s="62">
        <f>IF(AND($F$9=3,$F$10=12)=TRUE,"Q","")</f>
      </c>
      <c r="T16" s="62">
        <f>IF(AND($F$9=4,$F$10=12)=TRUE,"Q","")</f>
      </c>
      <c r="U16" s="2"/>
      <c r="V16" s="60">
        <f>IF(AND($F$31=1,$F$32=12)=TRUE,"Q","")</f>
      </c>
      <c r="W16" s="61">
        <f>IF(AND($F$31=2,$F$32=12)=TRUE,"Q","")</f>
      </c>
      <c r="X16" s="62">
        <f>IF(AND($F$31=3,$F$32=12)=TRUE,"Q","")</f>
      </c>
      <c r="Y16" s="62">
        <f>IF(AND($F$31=4,$F$32=12)=TRUE,"Q","")</f>
      </c>
      <c r="Z16" s="45">
        <f t="shared" si="8"/>
        <v>13</v>
      </c>
      <c r="AA16" s="136" t="s">
        <v>27</v>
      </c>
      <c r="AB16" s="137" t="str">
        <f t="shared" si="1"/>
        <v>Win</v>
      </c>
      <c r="AC16" s="1"/>
      <c r="AD16" s="46">
        <f t="shared" si="2"/>
        <v>8</v>
      </c>
      <c r="AE16" s="46">
        <f t="shared" si="10"/>
        <v>-120</v>
      </c>
      <c r="AF16" s="46">
        <f>SUM($AE$4:AE16)</f>
        <v>-195</v>
      </c>
      <c r="AG16" s="47">
        <f t="shared" si="3"/>
        <v>0</v>
      </c>
      <c r="AH16" s="47">
        <f t="shared" si="4"/>
        <v>0</v>
      </c>
      <c r="AI16" s="48">
        <f t="shared" si="5"/>
        <v>1</v>
      </c>
      <c r="AJ16" s="49">
        <f t="shared" si="9"/>
        <v>15</v>
      </c>
      <c r="AK16" s="49">
        <f>SUM($AJ$4:AJ16)</f>
        <v>195</v>
      </c>
      <c r="AL16" s="50">
        <f t="shared" si="6"/>
        <v>1</v>
      </c>
      <c r="AM16" s="50">
        <f t="shared" si="7"/>
        <v>1</v>
      </c>
      <c r="AN16" s="50">
        <f t="shared" si="0"/>
        <v>15</v>
      </c>
      <c r="AO16" s="2"/>
      <c r="AP16" s="2"/>
      <c r="AR16" s="51"/>
      <c r="AS16" s="51"/>
      <c r="AT16" s="59"/>
      <c r="AX16" s="51"/>
      <c r="AZ16" s="51"/>
      <c r="BB16" s="51"/>
    </row>
    <row r="17" spans="1:54" ht="12.75" customHeight="1" thickTop="1">
      <c r="A17" s="2"/>
      <c r="B17" s="25"/>
      <c r="C17" s="152" t="s">
        <v>17</v>
      </c>
      <c r="D17" s="88"/>
      <c r="E17" s="89" t="s">
        <v>7</v>
      </c>
      <c r="F17" s="90">
        <f>RANDBETWEEN(1,4)</f>
        <v>2</v>
      </c>
      <c r="G17" s="154">
        <f>IF(SUM(Q35:T47)=10,0,SUM(Q35:T47))</f>
        <v>7</v>
      </c>
      <c r="H17" s="26"/>
      <c r="I17" s="198">
        <f>IF(OR(J9="NATURAL",J9="HOLD"),"","3-CARD VALUE =")</f>
      </c>
      <c r="J17" s="199"/>
      <c r="K17" s="200"/>
      <c r="L17" s="161">
        <f>IF(OR(J9="NATURAL",J9="HOLD"),"",IF(SUM($G$9:$G$18)&gt;=20,SUM($G$9:$G$18)-20,IF(SUM($G$9:$G$18)&gt;=10,SUM($G$9:$G$18)-10,SUM($G$9:$G$18))))</f>
      </c>
      <c r="M17" s="29"/>
      <c r="N17" s="182"/>
      <c r="O17" s="53">
        <v>0</v>
      </c>
      <c r="P17" s="54" t="s">
        <v>12</v>
      </c>
      <c r="Q17" s="82">
        <f>IF(AND($F$9=1,$F$10=13)=TRUE,"K","")</f>
      </c>
      <c r="R17" s="91">
        <f>IF(AND($F$9=2,$F$10=13)=TRUE,"K","")</f>
      </c>
      <c r="S17" s="84">
        <f>IF(AND($F$9=3,$F$10=13)=TRUE,"K","")</f>
      </c>
      <c r="T17" s="84">
        <f>IF(AND($F$9=4,$F$10=13)=TRUE,"K","")</f>
      </c>
      <c r="U17" s="2"/>
      <c r="V17" s="82">
        <f>IF(AND($F$31=1,$F$32=13)=TRUE,"K","")</f>
      </c>
      <c r="W17" s="91">
        <f>IF(AND($F$31=2,$F$32=13)=TRUE,"K","")</f>
      </c>
      <c r="X17" s="84">
        <f>IF(AND($F$31=3,$F$32=13)=TRUE,"K","")</f>
      </c>
      <c r="Y17" s="84">
        <f>IF(AND($F$31=4,$F$32=13)=TRUE,"K","")</f>
      </c>
      <c r="Z17" s="45">
        <f t="shared" si="8"/>
        <v>14</v>
      </c>
      <c r="AA17" s="136" t="s">
        <v>26</v>
      </c>
      <c r="AB17" s="137">
        <f t="shared" si="1"/>
      </c>
      <c r="AC17" s="1"/>
      <c r="AD17" s="46">
        <f t="shared" si="2"/>
        <v>13</v>
      </c>
      <c r="AE17" s="46">
        <f t="shared" si="10"/>
        <v>195</v>
      </c>
      <c r="AF17" s="46">
        <f>SUM($AE$4:AE17)</f>
        <v>0</v>
      </c>
      <c r="AG17" s="47">
        <f t="shared" si="3"/>
        <v>0</v>
      </c>
      <c r="AH17" s="47">
        <f t="shared" si="4"/>
        <v>0</v>
      </c>
      <c r="AI17" s="48">
        <f t="shared" si="5"/>
        <v>1</v>
      </c>
      <c r="AJ17" s="49">
        <f t="shared" si="9"/>
        <v>-15</v>
      </c>
      <c r="AK17" s="49">
        <f>SUM($AJ$4:AJ17)</f>
        <v>180</v>
      </c>
      <c r="AL17" s="50">
        <f t="shared" si="6"/>
        <v>1</v>
      </c>
      <c r="AM17" s="50">
        <f t="shared" si="7"/>
        <v>1</v>
      </c>
      <c r="AN17" s="50">
        <f t="shared" si="0"/>
        <v>0</v>
      </c>
      <c r="AO17" s="2"/>
      <c r="AP17" s="2"/>
      <c r="AR17" s="51"/>
      <c r="AS17" s="51"/>
      <c r="AT17" s="59"/>
      <c r="AX17" s="51"/>
      <c r="AZ17" s="51"/>
      <c r="BB17" s="51"/>
    </row>
    <row r="18" spans="1:54" ht="13.5" thickBot="1">
      <c r="A18" s="2"/>
      <c r="B18" s="25"/>
      <c r="C18" s="153"/>
      <c r="D18" s="92"/>
      <c r="E18" s="93" t="s">
        <v>8</v>
      </c>
      <c r="F18" s="94">
        <f>RANDBETWEEN(1,13)</f>
        <v>7</v>
      </c>
      <c r="G18" s="154"/>
      <c r="H18" s="26"/>
      <c r="I18" s="201"/>
      <c r="J18" s="202"/>
      <c r="K18" s="203"/>
      <c r="L18" s="161"/>
      <c r="M18" s="29"/>
      <c r="N18" s="182"/>
      <c r="O18" s="95"/>
      <c r="P18" s="96"/>
      <c r="Q18" s="97"/>
      <c r="R18" s="97"/>
      <c r="S18" s="97"/>
      <c r="T18" s="97"/>
      <c r="U18" s="2"/>
      <c r="V18" s="97"/>
      <c r="W18" s="97"/>
      <c r="X18" s="97"/>
      <c r="Y18" s="97"/>
      <c r="Z18" s="45">
        <f t="shared" si="8"/>
        <v>15</v>
      </c>
      <c r="AA18" s="140" t="s">
        <v>26</v>
      </c>
      <c r="AB18" s="141">
        <f t="shared" si="1"/>
      </c>
      <c r="AC18" s="1"/>
      <c r="AD18" s="98">
        <f t="shared" si="2"/>
        <v>8</v>
      </c>
      <c r="AE18" s="98">
        <f t="shared" si="10"/>
        <v>120</v>
      </c>
      <c r="AF18" s="98">
        <f>SUM($AE$4:AE18)</f>
        <v>120</v>
      </c>
      <c r="AG18" s="47">
        <f t="shared" si="3"/>
        <v>8</v>
      </c>
      <c r="AH18" s="47">
        <f t="shared" si="4"/>
        <v>8</v>
      </c>
      <c r="AI18" s="99">
        <f t="shared" si="5"/>
        <v>2</v>
      </c>
      <c r="AJ18" s="99">
        <f t="shared" si="9"/>
        <v>-30</v>
      </c>
      <c r="AK18" s="99">
        <f>SUM($AJ$4:AJ18)</f>
        <v>150</v>
      </c>
      <c r="AL18" s="50">
        <f t="shared" si="6"/>
        <v>0</v>
      </c>
      <c r="AM18" s="50">
        <f t="shared" si="7"/>
        <v>0</v>
      </c>
      <c r="AN18" s="50">
        <f t="shared" si="0"/>
        <v>0</v>
      </c>
      <c r="AO18" s="2"/>
      <c r="AP18" s="2"/>
      <c r="AR18" s="51"/>
      <c r="AS18" s="51"/>
      <c r="AT18" s="59"/>
      <c r="AX18" s="51"/>
      <c r="AZ18" s="51"/>
      <c r="BB18" s="51"/>
    </row>
    <row r="19" spans="1:54" ht="13.5" thickTop="1">
      <c r="A19" s="2"/>
      <c r="B19" s="25"/>
      <c r="C19" s="100"/>
      <c r="D19" s="75"/>
      <c r="E19" s="26"/>
      <c r="F19" s="26"/>
      <c r="G19" s="26"/>
      <c r="H19" s="26"/>
      <c r="I19" s="26"/>
      <c r="J19" s="26"/>
      <c r="K19" s="26"/>
      <c r="L19" s="26"/>
      <c r="M19" s="29"/>
      <c r="N19" s="182"/>
      <c r="O19" s="95"/>
      <c r="P19" s="101"/>
      <c r="Q19" s="102" t="s">
        <v>13</v>
      </c>
      <c r="R19" s="103"/>
      <c r="S19" s="103"/>
      <c r="T19" s="103"/>
      <c r="U19" s="2"/>
      <c r="V19" s="102" t="s">
        <v>13</v>
      </c>
      <c r="W19" s="103"/>
      <c r="X19" s="103"/>
      <c r="Y19" s="103"/>
      <c r="Z19" s="45">
        <f t="shared" si="8"/>
        <v>16</v>
      </c>
      <c r="AA19" s="136" t="s">
        <v>26</v>
      </c>
      <c r="AB19" s="137">
        <f t="shared" si="1"/>
      </c>
      <c r="AC19" s="1"/>
      <c r="AD19" s="46">
        <f t="shared" si="2"/>
        <v>3</v>
      </c>
      <c r="AE19" s="46">
        <f t="shared" si="10"/>
        <v>45</v>
      </c>
      <c r="AF19" s="46">
        <f>SUM($AE$4:AE19)</f>
        <v>165</v>
      </c>
      <c r="AG19" s="47">
        <f t="shared" si="3"/>
        <v>3</v>
      </c>
      <c r="AH19" s="47">
        <f t="shared" si="4"/>
        <v>3</v>
      </c>
      <c r="AI19" s="48">
        <f t="shared" si="5"/>
        <v>3</v>
      </c>
      <c r="AJ19" s="49">
        <f t="shared" si="9"/>
        <v>-45</v>
      </c>
      <c r="AK19" s="49">
        <f>SUM($AJ$4:AJ19)</f>
        <v>105</v>
      </c>
      <c r="AL19" s="50">
        <f t="shared" si="6"/>
        <v>0</v>
      </c>
      <c r="AM19" s="50">
        <f t="shared" si="7"/>
        <v>0</v>
      </c>
      <c r="AN19" s="50">
        <f t="shared" si="0"/>
        <v>0</v>
      </c>
      <c r="AO19" s="2"/>
      <c r="AP19" s="2"/>
      <c r="AR19" s="51"/>
      <c r="AS19" s="51"/>
      <c r="AT19" s="59"/>
      <c r="AX19" s="51"/>
      <c r="AZ19" s="51"/>
      <c r="BB19" s="51"/>
    </row>
    <row r="20" spans="1:54" ht="13.5" thickBot="1">
      <c r="A20" s="2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07">
        <v>1</v>
      </c>
      <c r="O20" s="53">
        <v>1</v>
      </c>
      <c r="P20" s="54" t="s">
        <v>9</v>
      </c>
      <c r="Q20" s="55">
        <f>IF(AND($F$13=1,$F$14=1)=TRUE,1,"")</f>
      </c>
      <c r="R20" s="56">
        <f>IF(AND($F$13=2,$F$14=1)=TRUE,1,"")</f>
      </c>
      <c r="S20" s="57">
        <f>IF(AND($F$13=3,$F$14=1)=TRUE,1,"")</f>
      </c>
      <c r="T20" s="57">
        <f>IF(AND($F$13=4,$F$14=1)=TRUE,1,"")</f>
      </c>
      <c r="U20" s="2"/>
      <c r="V20" s="55">
        <f>IF(AND($F$35=1,$F$36=1)=TRUE,1,"")</f>
      </c>
      <c r="W20" s="56">
        <f>IF(AND($F$35=2,$F$36=1)=TRUE,1,"")</f>
      </c>
      <c r="X20" s="57">
        <f>IF(AND($F$35=3,$F$36=1)=TRUE,1,"")</f>
      </c>
      <c r="Y20" s="57">
        <f>IF(AND($F$35=4,$F$36=1)=TRUE,1,"")</f>
      </c>
      <c r="Z20" s="45">
        <f t="shared" si="8"/>
        <v>17</v>
      </c>
      <c r="AA20" s="136" t="s">
        <v>26</v>
      </c>
      <c r="AB20" s="137">
        <f t="shared" si="1"/>
      </c>
      <c r="AC20" s="1"/>
      <c r="AD20" s="46">
        <f t="shared" si="2"/>
        <v>2</v>
      </c>
      <c r="AE20" s="46">
        <f t="shared" si="10"/>
        <v>30</v>
      </c>
      <c r="AF20" s="46">
        <f>SUM($AE$4:AE20)</f>
        <v>195</v>
      </c>
      <c r="AG20" s="47">
        <f t="shared" si="3"/>
        <v>2</v>
      </c>
      <c r="AH20" s="47">
        <f t="shared" si="4"/>
        <v>2</v>
      </c>
      <c r="AI20" s="48">
        <f t="shared" si="5"/>
        <v>5</v>
      </c>
      <c r="AJ20" s="49">
        <f t="shared" si="9"/>
        <v>-75</v>
      </c>
      <c r="AK20" s="49">
        <f>SUM($AJ$4:AJ20)</f>
        <v>30</v>
      </c>
      <c r="AL20" s="50">
        <f t="shared" si="6"/>
        <v>0</v>
      </c>
      <c r="AM20" s="50">
        <f t="shared" si="7"/>
        <v>0</v>
      </c>
      <c r="AN20" s="50">
        <f t="shared" si="0"/>
        <v>0</v>
      </c>
      <c r="AO20" s="2"/>
      <c r="AP20" s="2"/>
      <c r="AR20" s="51"/>
      <c r="AS20" s="51"/>
      <c r="AT20" s="59"/>
      <c r="AX20" s="51"/>
      <c r="AZ20" s="51"/>
      <c r="BB20" s="51"/>
    </row>
    <row r="21" spans="1:54" ht="13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7">
        <v>2</v>
      </c>
      <c r="O21" s="53">
        <v>2</v>
      </c>
      <c r="P21" s="54">
        <v>2</v>
      </c>
      <c r="Q21" s="60">
        <f>IF(AND($F$13=1,$F$14=2)=TRUE,2,"")</f>
      </c>
      <c r="R21" s="61">
        <f>IF(AND($F$13=2,$F$14=2)=TRUE,2,"")</f>
      </c>
      <c r="S21" s="62">
        <f>IF(AND($F$13=3,$F$14=2)=TRUE,2,"")</f>
      </c>
      <c r="T21" s="62">
        <f>IF(AND($F$13=4,$F$14=2)=TRUE,2,"")</f>
      </c>
      <c r="U21" s="2"/>
      <c r="V21" s="60">
        <f>IF(AND($F$35=1,$F$36=2)=TRUE,2,"")</f>
      </c>
      <c r="W21" s="61">
        <f>IF(AND($F$35=2,$F$36=2)=TRUE,2,"")</f>
      </c>
      <c r="X21" s="62">
        <f>IF(AND($F$35=3,$F$36=2)=TRUE,2,"")</f>
      </c>
      <c r="Y21" s="62">
        <f>IF(AND($F$35=4,$F$36=2)=TRUE,2,"")</f>
      </c>
      <c r="Z21" s="45">
        <f t="shared" si="8"/>
        <v>18</v>
      </c>
      <c r="AA21" s="138" t="s">
        <v>26</v>
      </c>
      <c r="AB21" s="139">
        <f t="shared" si="1"/>
      </c>
      <c r="AC21" s="1"/>
      <c r="AD21" s="63">
        <f t="shared" si="2"/>
        <v>1</v>
      </c>
      <c r="AE21" s="63">
        <f t="shared" si="10"/>
        <v>15</v>
      </c>
      <c r="AF21" s="63">
        <f>SUM($AE$4:AE21)</f>
        <v>210</v>
      </c>
      <c r="AG21" s="47">
        <f t="shared" si="3"/>
        <v>1</v>
      </c>
      <c r="AH21" s="47">
        <f t="shared" si="4"/>
        <v>1</v>
      </c>
      <c r="AI21" s="64">
        <f t="shared" si="5"/>
        <v>8</v>
      </c>
      <c r="AJ21" s="64">
        <f t="shared" si="9"/>
        <v>-120</v>
      </c>
      <c r="AK21" s="64">
        <f>SUM($AJ$4:AJ21)</f>
        <v>-90</v>
      </c>
      <c r="AL21" s="50">
        <f t="shared" si="6"/>
        <v>0</v>
      </c>
      <c r="AM21" s="50">
        <f t="shared" si="7"/>
        <v>0</v>
      </c>
      <c r="AN21" s="50">
        <f t="shared" si="0"/>
        <v>0</v>
      </c>
      <c r="AO21" s="2"/>
      <c r="AP21" s="2"/>
      <c r="AR21" s="51"/>
      <c r="AS21" s="51"/>
      <c r="AT21" s="59"/>
      <c r="AX21" s="51"/>
      <c r="AZ21" s="51"/>
      <c r="BB21" s="51"/>
    </row>
    <row r="22" spans="1:5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07">
        <f>N21+N20</f>
        <v>3</v>
      </c>
      <c r="O22" s="53">
        <v>3</v>
      </c>
      <c r="P22" s="54">
        <v>3</v>
      </c>
      <c r="Q22" s="60">
        <f>IF(AND($F$13=1,$F$14=3)=TRUE,3,"")</f>
      </c>
      <c r="R22" s="61">
        <f>IF(AND($F$13=2,$F$14=3)=TRUE,3,"")</f>
      </c>
      <c r="S22" s="62">
        <f>IF(AND($F$13=3,$F$14=3)=TRUE,3,"")</f>
      </c>
      <c r="T22" s="62">
        <f>IF(AND($F$13=4,$F$14=3)=TRUE,3,"")</f>
      </c>
      <c r="U22" s="2"/>
      <c r="V22" s="60">
        <f>IF(AND($F$35=1,$F$36=3)=TRUE,3,"")</f>
      </c>
      <c r="W22" s="61">
        <f>IF(AND($F$35=2,$F$36=3)=TRUE,3,"")</f>
      </c>
      <c r="X22" s="62">
        <f>IF(AND($F$35=3,$F$36=3)=TRUE,3,"")</f>
      </c>
      <c r="Y22" s="62">
        <f>IF(AND($F$35=4,$F$36=3)=TRUE,3,"")</f>
      </c>
      <c r="Z22" s="45">
        <f t="shared" si="8"/>
        <v>19</v>
      </c>
      <c r="AA22" s="136" t="s">
        <v>26</v>
      </c>
      <c r="AB22" s="137">
        <f t="shared" si="1"/>
      </c>
      <c r="AC22" s="1"/>
      <c r="AD22" s="46">
        <f t="shared" si="2"/>
        <v>1</v>
      </c>
      <c r="AE22" s="46">
        <f t="shared" si="10"/>
        <v>15</v>
      </c>
      <c r="AF22" s="46">
        <f>SUM($AE$4:AE22)</f>
        <v>225</v>
      </c>
      <c r="AG22" s="47">
        <f t="shared" si="3"/>
        <v>1</v>
      </c>
      <c r="AH22" s="47">
        <f t="shared" si="4"/>
        <v>1</v>
      </c>
      <c r="AI22" s="48">
        <f t="shared" si="5"/>
        <v>13</v>
      </c>
      <c r="AJ22" s="49">
        <f t="shared" si="9"/>
        <v>-195</v>
      </c>
      <c r="AK22" s="49">
        <f>SUM($AJ$4:AJ22)</f>
        <v>-285</v>
      </c>
      <c r="AL22" s="50">
        <f t="shared" si="6"/>
        <v>0</v>
      </c>
      <c r="AM22" s="50">
        <f t="shared" si="7"/>
        <v>0</v>
      </c>
      <c r="AN22" s="50">
        <f t="shared" si="0"/>
        <v>0</v>
      </c>
      <c r="AO22" s="2"/>
      <c r="AP22" s="2"/>
      <c r="AR22" s="51"/>
      <c r="AS22" s="51"/>
      <c r="AT22" s="59"/>
      <c r="AX22" s="51"/>
      <c r="AZ22" s="51"/>
      <c r="BB22" s="51"/>
    </row>
    <row r="23" spans="1:54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7">
        <f aca="true" t="shared" si="11" ref="N23:N39">N22+N21</f>
        <v>5</v>
      </c>
      <c r="O23" s="53">
        <v>4</v>
      </c>
      <c r="P23" s="54">
        <v>4</v>
      </c>
      <c r="Q23" s="60">
        <f>IF(AND($F$13=1,$F$14=4)=TRUE,4,"")</f>
      </c>
      <c r="R23" s="61">
        <f>IF(AND($F$13=2,$F$14=4)=TRUE,4,"")</f>
      </c>
      <c r="S23" s="62">
        <f>IF(AND($F$13=3,$F$14=4)=TRUE,4,"")</f>
      </c>
      <c r="T23" s="62">
        <f>IF(AND($F$13=4,$F$14=4)=TRUE,4,"")</f>
      </c>
      <c r="U23" s="2"/>
      <c r="V23" s="60">
        <f>IF(AND($F$35=1,$F$36=4)=TRUE,4,"")</f>
      </c>
      <c r="W23" s="61">
        <f>IF(AND($F$35=2,$F$36=4)=TRUE,4,"")</f>
      </c>
      <c r="X23" s="62">
        <f>IF(AND($F$35=3,$F$36=4)=TRUE,4,"")</f>
      </c>
      <c r="Y23" s="62">
        <f>IF(AND($F$35=4,$F$36=4)=TRUE,4,"")</f>
      </c>
      <c r="Z23" s="45">
        <f t="shared" si="8"/>
        <v>20</v>
      </c>
      <c r="AA23" s="136" t="s">
        <v>27</v>
      </c>
      <c r="AB23" s="137" t="str">
        <f t="shared" si="1"/>
        <v>Win</v>
      </c>
      <c r="AC23" s="1"/>
      <c r="AD23" s="46">
        <f t="shared" si="2"/>
        <v>1</v>
      </c>
      <c r="AE23" s="46">
        <f t="shared" si="10"/>
        <v>-15</v>
      </c>
      <c r="AF23" s="46">
        <f>SUM($AE$4:AE23)</f>
        <v>210</v>
      </c>
      <c r="AG23" s="47">
        <f t="shared" si="3"/>
        <v>1</v>
      </c>
      <c r="AH23" s="47">
        <f t="shared" si="4"/>
        <v>1</v>
      </c>
      <c r="AI23" s="48">
        <f t="shared" si="5"/>
        <v>21</v>
      </c>
      <c r="AJ23" s="49">
        <f t="shared" si="9"/>
        <v>315</v>
      </c>
      <c r="AK23" s="49">
        <f>SUM($AJ$4:AJ23)</f>
        <v>30</v>
      </c>
      <c r="AL23" s="50">
        <f t="shared" si="6"/>
        <v>0</v>
      </c>
      <c r="AM23" s="50">
        <f t="shared" si="7"/>
        <v>0</v>
      </c>
      <c r="AN23" s="50">
        <f t="shared" si="0"/>
        <v>315</v>
      </c>
      <c r="AO23" s="2"/>
      <c r="AP23" s="2"/>
      <c r="AR23" s="51"/>
      <c r="AS23" s="51"/>
      <c r="AT23" s="59"/>
      <c r="AX23" s="51"/>
      <c r="AZ23" s="51"/>
      <c r="BB23" s="51"/>
    </row>
    <row r="24" spans="1:54" ht="13.5" thickTop="1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7">
        <f t="shared" si="11"/>
        <v>8</v>
      </c>
      <c r="O24" s="53">
        <v>5</v>
      </c>
      <c r="P24" s="54">
        <v>5</v>
      </c>
      <c r="Q24" s="60">
        <f>IF(AND($F$13=1,$F$14=5)=TRUE,5,"")</f>
      </c>
      <c r="R24" s="61">
        <f>IF(AND($F$13=2,$F$14=5)=TRUE,5,"")</f>
      </c>
      <c r="S24" s="62">
        <f>IF(AND($F$13=3,$F$14=5)=TRUE,5,"")</f>
      </c>
      <c r="T24" s="62">
        <f>IF(AND($F$13=4,$F$14=5)=TRUE,5,"")</f>
      </c>
      <c r="U24" s="2"/>
      <c r="V24" s="60">
        <f>IF(AND($F$35=1,$F$36=5)=TRUE,5,"")</f>
      </c>
      <c r="W24" s="61">
        <f>IF(AND($F$35=2,$F$36=5)=TRUE,5,"")</f>
      </c>
      <c r="X24" s="62">
        <f>IF(AND($F$35=3,$F$36=5)=TRUE,5,"")</f>
      </c>
      <c r="Y24" s="62">
        <f>IF(AND($F$35=4,$F$36=5)=TRUE,5,"")</f>
      </c>
      <c r="Z24" s="45">
        <f t="shared" si="8"/>
        <v>21</v>
      </c>
      <c r="AA24" s="138" t="s">
        <v>27</v>
      </c>
      <c r="AB24" s="139" t="str">
        <f t="shared" si="1"/>
        <v>Win</v>
      </c>
      <c r="AC24" s="1"/>
      <c r="AD24" s="63">
        <f t="shared" si="2"/>
        <v>2</v>
      </c>
      <c r="AE24" s="63">
        <f t="shared" si="10"/>
        <v>-30</v>
      </c>
      <c r="AF24" s="63">
        <f>SUM($AE$4:AE24)</f>
        <v>180</v>
      </c>
      <c r="AG24" s="47">
        <f t="shared" si="3"/>
        <v>0</v>
      </c>
      <c r="AH24" s="47">
        <f t="shared" si="4"/>
        <v>0</v>
      </c>
      <c r="AI24" s="64">
        <f t="shared" si="5"/>
        <v>13</v>
      </c>
      <c r="AJ24" s="64">
        <f t="shared" si="9"/>
        <v>195</v>
      </c>
      <c r="AK24" s="64">
        <f>SUM($AJ$4:AJ24)</f>
        <v>225</v>
      </c>
      <c r="AL24" s="50">
        <f t="shared" si="6"/>
        <v>13</v>
      </c>
      <c r="AM24" s="50">
        <f t="shared" si="7"/>
        <v>13</v>
      </c>
      <c r="AN24" s="50">
        <f t="shared" si="0"/>
        <v>195</v>
      </c>
      <c r="AO24" s="2"/>
      <c r="AP24" s="2"/>
      <c r="AR24" s="51"/>
      <c r="AS24" s="51"/>
      <c r="AT24" s="59"/>
      <c r="AX24" s="51"/>
      <c r="AZ24" s="51"/>
      <c r="BB24" s="51"/>
    </row>
    <row r="25" spans="1:54" ht="13.5" thickBot="1">
      <c r="A25" s="2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9"/>
      <c r="N25" s="107">
        <f t="shared" si="11"/>
        <v>13</v>
      </c>
      <c r="O25" s="53">
        <v>6</v>
      </c>
      <c r="P25" s="54">
        <v>6</v>
      </c>
      <c r="Q25" s="60">
        <f>IF(AND($F$13=1,$F$14=6)=TRUE,6,"")</f>
      </c>
      <c r="R25" s="61">
        <f>IF(AND($F$13=2,$F$14=6)=TRUE,6,"")</f>
      </c>
      <c r="S25" s="62">
        <f>IF(AND($F$13=3,$F$14=6)=TRUE,6,"")</f>
      </c>
      <c r="T25" s="62">
        <f>IF(AND($F$13=4,$F$14=6)=TRUE,6,"")</f>
      </c>
      <c r="U25" s="2"/>
      <c r="V25" s="60">
        <f>IF(AND($F$35=1,$F$36=6)=TRUE,6,"")</f>
      </c>
      <c r="W25" s="61">
        <f>IF(AND($F$35=2,$F$36=6)=TRUE,6,"")</f>
      </c>
      <c r="X25" s="62">
        <f>IF(AND($F$35=3,$F$36=6)=TRUE,6,"")</f>
      </c>
      <c r="Y25" s="62">
        <f>IF(AND($F$35=4,$F$36=6)=TRUE,6,"")</f>
      </c>
      <c r="Z25" s="45">
        <f t="shared" si="8"/>
        <v>22</v>
      </c>
      <c r="AA25" s="136" t="s">
        <v>26</v>
      </c>
      <c r="AB25" s="137">
        <f t="shared" si="1"/>
      </c>
      <c r="AC25" s="1"/>
      <c r="AD25" s="46">
        <f t="shared" si="2"/>
        <v>3</v>
      </c>
      <c r="AE25" s="46">
        <f t="shared" si="10"/>
        <v>45</v>
      </c>
      <c r="AF25" s="46">
        <f>SUM($AE$4:AE25)</f>
        <v>225</v>
      </c>
      <c r="AG25" s="47">
        <f t="shared" si="3"/>
        <v>0</v>
      </c>
      <c r="AH25" s="47">
        <f t="shared" si="4"/>
        <v>0</v>
      </c>
      <c r="AI25" s="48">
        <f t="shared" si="5"/>
        <v>5</v>
      </c>
      <c r="AJ25" s="49">
        <f t="shared" si="9"/>
        <v>-75</v>
      </c>
      <c r="AK25" s="49">
        <f>SUM($AJ$4:AJ25)</f>
        <v>150</v>
      </c>
      <c r="AL25" s="50">
        <f t="shared" si="6"/>
        <v>5</v>
      </c>
      <c r="AM25" s="50">
        <f t="shared" si="7"/>
        <v>5</v>
      </c>
      <c r="AN25" s="50">
        <f t="shared" si="0"/>
        <v>0</v>
      </c>
      <c r="AO25" s="2"/>
      <c r="AP25" s="2"/>
      <c r="AR25" s="51"/>
      <c r="AS25" s="51"/>
      <c r="AT25" s="59"/>
      <c r="AX25" s="51"/>
      <c r="AZ25" s="51"/>
      <c r="BB25" s="51"/>
    </row>
    <row r="26" spans="1:54" ht="12.75" customHeight="1" thickTop="1">
      <c r="A26" s="2"/>
      <c r="B26" s="25"/>
      <c r="C26" s="183" t="s">
        <v>25</v>
      </c>
      <c r="D26" s="184"/>
      <c r="E26" s="184"/>
      <c r="F26" s="184"/>
      <c r="G26" s="185"/>
      <c r="H26" s="42"/>
      <c r="I26" s="42"/>
      <c r="J26" s="108"/>
      <c r="K26" s="26"/>
      <c r="L26" s="26"/>
      <c r="M26" s="29"/>
      <c r="N26" s="107">
        <f t="shared" si="11"/>
        <v>21</v>
      </c>
      <c r="O26" s="53">
        <v>7</v>
      </c>
      <c r="P26" s="54">
        <v>7</v>
      </c>
      <c r="Q26" s="60">
        <f>IF(AND($F$13=1,$F$14=7)=TRUE,7,"")</f>
      </c>
      <c r="R26" s="61">
        <f>IF(AND($F$13=2,$F$14=7)=TRUE,7,"")</f>
      </c>
      <c r="S26" s="62">
        <f>IF(AND($F$13=3,$F$14=7)=TRUE,7,"")</f>
      </c>
      <c r="T26" s="62">
        <f>IF(AND($F$13=4,$F$14=7)=TRUE,7,"")</f>
      </c>
      <c r="U26" s="2"/>
      <c r="V26" s="60">
        <f>IF(AND($F$35=1,$F$36=7)=TRUE,7,"")</f>
      </c>
      <c r="W26" s="61">
        <f>IF(AND($F$35=2,$F$36=7)=TRUE,7,"")</f>
      </c>
      <c r="X26" s="62">
        <f>IF(AND($F$35=3,$F$36=7)=TRUE,7,"")</f>
      </c>
      <c r="Y26" s="62">
        <f>IF(AND($F$35=4,$F$36=7)=TRUE,7,"")</f>
      </c>
      <c r="Z26" s="45">
        <f t="shared" si="8"/>
        <v>23</v>
      </c>
      <c r="AA26" s="136" t="s">
        <v>26</v>
      </c>
      <c r="AB26" s="137">
        <f t="shared" si="1"/>
      </c>
      <c r="AC26" s="1"/>
      <c r="AD26" s="46">
        <f t="shared" si="2"/>
        <v>2</v>
      </c>
      <c r="AE26" s="46">
        <f t="shared" si="10"/>
        <v>30</v>
      </c>
      <c r="AF26" s="46">
        <f>SUM($AE$4:AE26)</f>
        <v>255</v>
      </c>
      <c r="AG26" s="47">
        <f t="shared" si="3"/>
        <v>2</v>
      </c>
      <c r="AH26" s="47">
        <f t="shared" si="4"/>
        <v>2</v>
      </c>
      <c r="AI26" s="48">
        <f t="shared" si="5"/>
        <v>8</v>
      </c>
      <c r="AJ26" s="49">
        <f t="shared" si="9"/>
        <v>-120</v>
      </c>
      <c r="AK26" s="49">
        <f>SUM($AJ$4:AJ26)</f>
        <v>30</v>
      </c>
      <c r="AL26" s="50">
        <f t="shared" si="6"/>
        <v>0</v>
      </c>
      <c r="AM26" s="50">
        <f t="shared" si="7"/>
        <v>0</v>
      </c>
      <c r="AN26" s="50">
        <f t="shared" si="0"/>
        <v>0</v>
      </c>
      <c r="AO26" s="2"/>
      <c r="AP26" s="2"/>
      <c r="AR26" s="51"/>
      <c r="AS26" s="51"/>
      <c r="AT26" s="59"/>
      <c r="AX26" s="51"/>
      <c r="AZ26" s="51"/>
      <c r="BB26" s="51"/>
    </row>
    <row r="27" spans="1:54" ht="12.75" customHeight="1">
      <c r="A27" s="2"/>
      <c r="B27" s="25"/>
      <c r="C27" s="186"/>
      <c r="D27" s="187"/>
      <c r="E27" s="187"/>
      <c r="F27" s="187"/>
      <c r="G27" s="188"/>
      <c r="H27" s="42"/>
      <c r="I27" s="42"/>
      <c r="J27" s="108"/>
      <c r="K27" s="109"/>
      <c r="L27" s="109"/>
      <c r="M27" s="29"/>
      <c r="N27" s="107">
        <f t="shared" si="11"/>
        <v>34</v>
      </c>
      <c r="O27" s="53">
        <v>8</v>
      </c>
      <c r="P27" s="54">
        <v>8</v>
      </c>
      <c r="Q27" s="60">
        <f>IF(AND($F$13=1,$F$14=8)=TRUE,8,"")</f>
      </c>
      <c r="R27" s="61">
        <f>IF(AND($F$13=2,$F$14=8)=TRUE,8,"")</f>
      </c>
      <c r="S27" s="62">
        <f>IF(AND($F$13=3,$F$14=8)=TRUE,8,"")</f>
      </c>
      <c r="T27" s="62">
        <f>IF(AND($F$13=4,$F$14=8)=TRUE,8,"")</f>
      </c>
      <c r="U27" s="2"/>
      <c r="V27" s="60">
        <f>IF(AND($F$35=1,$F$36=8)=TRUE,8,"")</f>
      </c>
      <c r="W27" s="61">
        <f>IF(AND($F$35=2,$F$36=8)=TRUE,8,"")</f>
      </c>
      <c r="X27" s="62">
        <f>IF(AND($F$35=3,$F$36=8)=TRUE,8,"")</f>
      </c>
      <c r="Y27" s="62">
        <f>IF(AND($F$35=4,$F$36=8)=TRUE,8,"")</f>
      </c>
      <c r="Z27" s="45">
        <f t="shared" si="8"/>
        <v>24</v>
      </c>
      <c r="AA27" s="138" t="s">
        <v>27</v>
      </c>
      <c r="AB27" s="139" t="str">
        <f t="shared" si="1"/>
        <v>Win</v>
      </c>
      <c r="AC27" s="1"/>
      <c r="AD27" s="63">
        <f t="shared" si="2"/>
        <v>1</v>
      </c>
      <c r="AE27" s="63">
        <f t="shared" si="10"/>
        <v>-15</v>
      </c>
      <c r="AF27" s="63">
        <f>SUM($AE$4:AE27)</f>
        <v>240</v>
      </c>
      <c r="AG27" s="47">
        <f t="shared" si="3"/>
        <v>1</v>
      </c>
      <c r="AH27" s="47">
        <f t="shared" si="4"/>
        <v>1</v>
      </c>
      <c r="AI27" s="64">
        <f t="shared" si="5"/>
        <v>13</v>
      </c>
      <c r="AJ27" s="64">
        <f t="shared" si="9"/>
        <v>195</v>
      </c>
      <c r="AK27" s="64">
        <f>SUM($AJ$4:AJ27)</f>
        <v>225</v>
      </c>
      <c r="AL27" s="50">
        <f t="shared" si="6"/>
        <v>0</v>
      </c>
      <c r="AM27" s="50">
        <f t="shared" si="7"/>
        <v>0</v>
      </c>
      <c r="AN27" s="50">
        <f t="shared" si="0"/>
        <v>195</v>
      </c>
      <c r="AO27" s="2"/>
      <c r="AP27" s="2"/>
      <c r="AR27" s="51"/>
      <c r="AS27" s="51"/>
      <c r="AT27" s="59"/>
      <c r="AX27" s="51"/>
      <c r="AZ27" s="51"/>
      <c r="BB27" s="51"/>
    </row>
    <row r="28" spans="1:54" ht="13.5" customHeight="1" thickBot="1">
      <c r="A28" s="2"/>
      <c r="B28" s="25"/>
      <c r="C28" s="189"/>
      <c r="D28" s="190"/>
      <c r="E28" s="190"/>
      <c r="F28" s="190"/>
      <c r="G28" s="191"/>
      <c r="H28" s="42"/>
      <c r="I28" s="42"/>
      <c r="J28" s="108"/>
      <c r="K28" s="109"/>
      <c r="L28" s="109"/>
      <c r="M28" s="29"/>
      <c r="N28" s="107">
        <f t="shared" si="11"/>
        <v>55</v>
      </c>
      <c r="O28" s="53">
        <v>9</v>
      </c>
      <c r="P28" s="54">
        <v>9</v>
      </c>
      <c r="Q28" s="82">
        <f>IF(AND($F$13=1,$F$14=9)=TRUE,9,"")</f>
      </c>
      <c r="R28" s="83">
        <f>IF(AND($F$13=2,$F$14=9)=TRUE,9,"")</f>
      </c>
      <c r="S28" s="84">
        <f>IF(AND($F$13=3,$F$14=9)=TRUE,9,"")</f>
      </c>
      <c r="T28" s="84">
        <f>IF(AND($F$13=4,$F$14=9)=TRUE,9,"")</f>
      </c>
      <c r="U28" s="2"/>
      <c r="V28" s="82">
        <f>IF(AND($F$35=1,$F$36=9)=TRUE,9,"")</f>
      </c>
      <c r="W28" s="83">
        <f>IF(AND($F$35=2,$F$36=9)=TRUE,9,"")</f>
      </c>
      <c r="X28" s="84">
        <f>IF(AND($F$35=3,$F$36=9)=TRUE,9,"")</f>
        <v>9</v>
      </c>
      <c r="Y28" s="84">
        <f>IF(AND($F$35=4,$F$36=9)=TRUE,9,"")</f>
      </c>
      <c r="Z28" s="45">
        <f t="shared" si="8"/>
        <v>25</v>
      </c>
      <c r="AA28" s="136" t="s">
        <v>27</v>
      </c>
      <c r="AB28" s="137" t="str">
        <f t="shared" si="1"/>
        <v>Win</v>
      </c>
      <c r="AC28" s="1"/>
      <c r="AD28" s="46">
        <f t="shared" si="2"/>
        <v>2</v>
      </c>
      <c r="AE28" s="46">
        <f t="shared" si="10"/>
        <v>-30</v>
      </c>
      <c r="AF28" s="46">
        <f>SUM($AE$4:AE28)</f>
        <v>210</v>
      </c>
      <c r="AG28" s="47">
        <f t="shared" si="3"/>
        <v>0</v>
      </c>
      <c r="AH28" s="47">
        <f t="shared" si="4"/>
        <v>0</v>
      </c>
      <c r="AI28" s="48">
        <f t="shared" si="5"/>
        <v>8</v>
      </c>
      <c r="AJ28" s="49">
        <f t="shared" si="9"/>
        <v>120</v>
      </c>
      <c r="AK28" s="49">
        <f>SUM($AJ$4:AJ28)</f>
        <v>345</v>
      </c>
      <c r="AL28" s="50">
        <f t="shared" si="6"/>
        <v>8</v>
      </c>
      <c r="AM28" s="50">
        <f t="shared" si="7"/>
        <v>8</v>
      </c>
      <c r="AN28" s="50">
        <f t="shared" si="0"/>
        <v>120</v>
      </c>
      <c r="AO28" s="2"/>
      <c r="AP28" s="2"/>
      <c r="AR28" s="51"/>
      <c r="AS28" s="51"/>
      <c r="AT28" s="59"/>
      <c r="AX28" s="51"/>
      <c r="AZ28" s="51"/>
      <c r="BB28" s="51"/>
    </row>
    <row r="29" spans="1:54" ht="13.5" thickTop="1">
      <c r="A29" s="2"/>
      <c r="B29" s="25"/>
      <c r="C29" s="26"/>
      <c r="D29" s="26"/>
      <c r="E29" s="26"/>
      <c r="F29" s="26"/>
      <c r="G29" s="26"/>
      <c r="H29" s="65"/>
      <c r="I29" s="42"/>
      <c r="J29" s="26"/>
      <c r="K29" s="109"/>
      <c r="L29" s="109"/>
      <c r="M29" s="29"/>
      <c r="N29" s="107">
        <f t="shared" si="11"/>
        <v>89</v>
      </c>
      <c r="O29" s="53">
        <v>0</v>
      </c>
      <c r="P29" s="54">
        <v>10</v>
      </c>
      <c r="Q29" s="60">
        <f>IF(AND($F$13=1,$F$14=10)=TRUE,10,"")</f>
      </c>
      <c r="R29" s="61">
        <f>IF(AND($F$13=2,$F$14=10)=TRUE,10,"")</f>
      </c>
      <c r="S29" s="62">
        <f>IF(AND($F$13=3,$F$14=10)=TRUE,10,"")</f>
        <v>10</v>
      </c>
      <c r="T29" s="62">
        <f>IF(AND($F$13=4,$F$14=10)=TRUE,10,"")</f>
      </c>
      <c r="U29" s="2"/>
      <c r="V29" s="60">
        <f>IF(AND($F$35=1,$F$36=10)=TRUE,10,"")</f>
      </c>
      <c r="W29" s="61">
        <f>IF(AND($F$35=2,$F$36=10)=TRUE,10,"")</f>
      </c>
      <c r="X29" s="62">
        <f>IF(AND($F$35=3,$F$36=10)=TRUE,10,"")</f>
      </c>
      <c r="Y29" s="62">
        <f>IF(AND($F$35=4,$F$36=10)=TRUE,10,"")</f>
      </c>
      <c r="Z29" s="45">
        <f t="shared" si="8"/>
        <v>26</v>
      </c>
      <c r="AA29" s="136" t="s">
        <v>26</v>
      </c>
      <c r="AB29" s="137">
        <f t="shared" si="1"/>
      </c>
      <c r="AC29" s="1"/>
      <c r="AD29" s="46">
        <f t="shared" si="2"/>
        <v>3</v>
      </c>
      <c r="AE29" s="46">
        <f t="shared" si="10"/>
        <v>45</v>
      </c>
      <c r="AF29" s="46">
        <f>SUM($AE$4:AE29)</f>
        <v>255</v>
      </c>
      <c r="AG29" s="47">
        <f t="shared" si="3"/>
        <v>0</v>
      </c>
      <c r="AH29" s="47">
        <f t="shared" si="4"/>
        <v>0</v>
      </c>
      <c r="AI29" s="48">
        <f t="shared" si="5"/>
        <v>3</v>
      </c>
      <c r="AJ29" s="49">
        <f t="shared" si="9"/>
        <v>-45</v>
      </c>
      <c r="AK29" s="49">
        <f>SUM($AJ$4:AJ29)</f>
        <v>300</v>
      </c>
      <c r="AL29" s="50">
        <f t="shared" si="6"/>
        <v>3</v>
      </c>
      <c r="AM29" s="50">
        <f t="shared" si="7"/>
        <v>3</v>
      </c>
      <c r="AN29" s="50">
        <f t="shared" si="0"/>
        <v>0</v>
      </c>
      <c r="AO29" s="2"/>
      <c r="AP29" s="2"/>
      <c r="AR29" s="51"/>
      <c r="AS29" s="51"/>
      <c r="AT29" s="59"/>
      <c r="AX29" s="51"/>
      <c r="AZ29" s="51"/>
      <c r="BB29" s="51"/>
    </row>
    <row r="30" spans="1:54" ht="13.5" customHeight="1" thickBot="1">
      <c r="A30" s="2"/>
      <c r="B30" s="25"/>
      <c r="C30" s="26"/>
      <c r="D30" s="26"/>
      <c r="E30" s="26"/>
      <c r="F30" s="67"/>
      <c r="G30" s="26"/>
      <c r="H30" s="26"/>
      <c r="I30" s="26"/>
      <c r="J30" s="26"/>
      <c r="K30" s="26"/>
      <c r="L30" s="26"/>
      <c r="M30" s="29"/>
      <c r="N30" s="107">
        <f t="shared" si="11"/>
        <v>144</v>
      </c>
      <c r="O30" s="53">
        <v>0</v>
      </c>
      <c r="P30" s="54" t="s">
        <v>10</v>
      </c>
      <c r="Q30" s="60">
        <f>IF(AND($F$13=1,$F$14=11)=TRUE,"J","")</f>
      </c>
      <c r="R30" s="61">
        <f>IF(AND($F$13=2,$F$14=11)=TRUE,"J","")</f>
      </c>
      <c r="S30" s="62">
        <f>IF(AND($F$13=3,$F$14=11)=TRUE,"J","")</f>
      </c>
      <c r="T30" s="62">
        <f>IF(AND($F$13=4,$F$14=11)=TRUE,"J","")</f>
      </c>
      <c r="U30" s="2"/>
      <c r="V30" s="60">
        <f>IF(AND($F$35=1,$F$36=11)=TRUE,"J","")</f>
      </c>
      <c r="W30" s="61">
        <f>IF(AND($F$35=2,$F$36=11)=TRUE,"J","")</f>
      </c>
      <c r="X30" s="62">
        <f>IF(AND($F$35=3,$F$36=11)=TRUE,"J","")</f>
      </c>
      <c r="Y30" s="62">
        <f>IF(AND($F$35=4,$F$36=11)=TRUE,"J","")</f>
      </c>
      <c r="Z30" s="45">
        <f t="shared" si="8"/>
        <v>27</v>
      </c>
      <c r="AA30" s="138" t="s">
        <v>26</v>
      </c>
      <c r="AB30" s="139">
        <f t="shared" si="1"/>
      </c>
      <c r="AC30" s="1"/>
      <c r="AD30" s="63">
        <f t="shared" si="2"/>
        <v>2</v>
      </c>
      <c r="AE30" s="63">
        <f t="shared" si="10"/>
        <v>30</v>
      </c>
      <c r="AF30" s="63">
        <f>SUM($AE$4:AE30)</f>
        <v>285</v>
      </c>
      <c r="AG30" s="47">
        <f t="shared" si="3"/>
        <v>2</v>
      </c>
      <c r="AH30" s="47">
        <f t="shared" si="4"/>
        <v>2</v>
      </c>
      <c r="AI30" s="64">
        <f t="shared" si="5"/>
        <v>5</v>
      </c>
      <c r="AJ30" s="64">
        <f t="shared" si="9"/>
        <v>-75</v>
      </c>
      <c r="AK30" s="64">
        <f>SUM($AJ$4:AJ30)</f>
        <v>225</v>
      </c>
      <c r="AL30" s="50">
        <f t="shared" si="6"/>
        <v>0</v>
      </c>
      <c r="AM30" s="50">
        <f t="shared" si="7"/>
        <v>0</v>
      </c>
      <c r="AN30" s="50">
        <f t="shared" si="0"/>
        <v>0</v>
      </c>
      <c r="AO30" s="2"/>
      <c r="AP30" s="2"/>
      <c r="AR30" s="51"/>
      <c r="AS30" s="51"/>
      <c r="AT30" s="59"/>
      <c r="AX30" s="51"/>
      <c r="AZ30" s="51"/>
      <c r="BB30" s="51"/>
    </row>
    <row r="31" spans="1:54" ht="13.5" customHeight="1">
      <c r="A31" s="2"/>
      <c r="B31" s="25"/>
      <c r="C31" s="152" t="s">
        <v>15</v>
      </c>
      <c r="D31" s="68"/>
      <c r="E31" s="69" t="s">
        <v>7</v>
      </c>
      <c r="F31" s="70">
        <f>RANDBETWEEN(1,4)</f>
        <v>3</v>
      </c>
      <c r="G31" s="154">
        <f>IF(SUM(V5:Y17)=10,0,SUM(V5:Y17))</f>
        <v>0</v>
      </c>
      <c r="H31" s="26"/>
      <c r="I31" s="26"/>
      <c r="J31" s="175" t="str">
        <f>IF(AND(L34=4,OR(G17=0,G17=1,G17=8,G17=9)),"HOLD",IF(AND(L34=3,G17=8),"HOLD",IF(AND(L34=5,OR(G17=4,G17=5,G17=6,G17=7)=FALSE),"HOLD",IF(AND(L34=6,OR(G17=6,G17=7)=FALSE),"HOLD",IF(OR($L$34=8,$L$34=9),"NATURAL",IF(OR($L$34&lt;=5,$L$34=""),"GOT A CARD","HOLD"))))))</f>
        <v>NATURAL</v>
      </c>
      <c r="K31" s="26"/>
      <c r="L31" s="26"/>
      <c r="M31" s="29"/>
      <c r="N31" s="107">
        <f t="shared" si="11"/>
        <v>233</v>
      </c>
      <c r="O31" s="53">
        <v>0</v>
      </c>
      <c r="P31" s="54" t="s">
        <v>11</v>
      </c>
      <c r="Q31" s="60">
        <f>IF(AND($F$13=1,$F$14=12)=TRUE,"Q","")</f>
      </c>
      <c r="R31" s="61">
        <f>IF(AND($F$13=2,$F$14=12)=TRUE,"Q","")</f>
      </c>
      <c r="S31" s="62">
        <f>IF(AND($F$13=3,$F$14=12)=TRUE,"Q","")</f>
      </c>
      <c r="T31" s="62">
        <f>IF(AND($F$13=4,$F$14=12)=TRUE,"Q","")</f>
      </c>
      <c r="U31" s="2"/>
      <c r="V31" s="60">
        <f>IF(AND($F$35=1,$F$36=12)=TRUE,"Q","")</f>
      </c>
      <c r="W31" s="61">
        <f>IF(AND($F$35=2,$F$36=12)=TRUE,"Q","")</f>
      </c>
      <c r="X31" s="62">
        <f>IF(AND($F$35=3,$F$36=12)=TRUE,"Q","")</f>
      </c>
      <c r="Y31" s="62">
        <f>IF(AND($F$35=4,$F$36=12)=TRUE,"Q","")</f>
      </c>
      <c r="Z31" s="45">
        <f t="shared" si="8"/>
        <v>28</v>
      </c>
      <c r="AA31" s="136" t="s">
        <v>26</v>
      </c>
      <c r="AB31" s="137">
        <f t="shared" si="1"/>
      </c>
      <c r="AC31" s="1"/>
      <c r="AD31" s="46">
        <f t="shared" si="2"/>
        <v>1</v>
      </c>
      <c r="AE31" s="46">
        <f t="shared" si="10"/>
        <v>15</v>
      </c>
      <c r="AF31" s="46">
        <f>SUM($AE$4:AE31)</f>
        <v>300</v>
      </c>
      <c r="AG31" s="47">
        <f t="shared" si="3"/>
        <v>1</v>
      </c>
      <c r="AH31" s="47">
        <f t="shared" si="4"/>
        <v>1</v>
      </c>
      <c r="AI31" s="48">
        <f t="shared" si="5"/>
        <v>8</v>
      </c>
      <c r="AJ31" s="49">
        <f t="shared" si="9"/>
        <v>-120</v>
      </c>
      <c r="AK31" s="49">
        <f>SUM($AJ$4:AJ31)</f>
        <v>105</v>
      </c>
      <c r="AL31" s="50">
        <f t="shared" si="6"/>
        <v>0</v>
      </c>
      <c r="AM31" s="50">
        <f t="shared" si="7"/>
        <v>0</v>
      </c>
      <c r="AN31" s="50">
        <f t="shared" si="0"/>
        <v>0</v>
      </c>
      <c r="AO31" s="2"/>
      <c r="AP31" s="2"/>
      <c r="AR31" s="51"/>
      <c r="AS31" s="51"/>
      <c r="AT31" s="59"/>
      <c r="AX31" s="51"/>
      <c r="AZ31" s="51"/>
      <c r="BB31" s="51"/>
    </row>
    <row r="32" spans="1:54" ht="13.5" customHeight="1">
      <c r="A32" s="2"/>
      <c r="B32" s="25"/>
      <c r="C32" s="153"/>
      <c r="D32" s="71"/>
      <c r="E32" s="72" t="s">
        <v>8</v>
      </c>
      <c r="F32" s="73">
        <f>RANDBETWEEN(1,13)</f>
        <v>10</v>
      </c>
      <c r="G32" s="154"/>
      <c r="H32" s="26"/>
      <c r="I32" s="26"/>
      <c r="J32" s="176"/>
      <c r="K32" s="26"/>
      <c r="L32" s="26"/>
      <c r="M32" s="29"/>
      <c r="N32" s="107">
        <f t="shared" si="11"/>
        <v>377</v>
      </c>
      <c r="O32" s="53">
        <v>0</v>
      </c>
      <c r="P32" s="54" t="s">
        <v>12</v>
      </c>
      <c r="Q32" s="82">
        <f>IF(AND($F$13=1,$F$14=13)=TRUE,"K","")</f>
      </c>
      <c r="R32" s="91">
        <f>IF(AND($F$13=2,$F$14=13)=TRUE,"K","")</f>
      </c>
      <c r="S32" s="84">
        <f>IF(AND($F$13=3,$F$14=13)=TRUE,"K","")</f>
      </c>
      <c r="T32" s="84">
        <f>IF(AND($F$13=4,$F$14=13)=TRUE,"K","")</f>
      </c>
      <c r="U32" s="2"/>
      <c r="V32" s="82">
        <f>IF(AND($F$35=1,$F$36=13)=TRUE,"K","")</f>
      </c>
      <c r="W32" s="91">
        <f>IF(AND($F$35=2,$F$36=13)=TRUE,"K","")</f>
      </c>
      <c r="X32" s="84">
        <f>IF(AND($F$35=3,$F$36=13)=TRUE,"K","")</f>
      </c>
      <c r="Y32" s="84">
        <f>IF(AND($F$35=4,$F$36=13)=TRUE,"K","")</f>
      </c>
      <c r="Z32" s="45">
        <f t="shared" si="8"/>
        <v>29</v>
      </c>
      <c r="AA32" s="136" t="s">
        <v>26</v>
      </c>
      <c r="AB32" s="137">
        <f t="shared" si="1"/>
      </c>
      <c r="AC32" s="1"/>
      <c r="AD32" s="46">
        <f t="shared" si="2"/>
        <v>1</v>
      </c>
      <c r="AE32" s="46">
        <f t="shared" si="10"/>
        <v>15</v>
      </c>
      <c r="AF32" s="46">
        <f>SUM($AE$4:AE32)</f>
        <v>315</v>
      </c>
      <c r="AG32" s="47">
        <f t="shared" si="3"/>
        <v>1</v>
      </c>
      <c r="AH32" s="47">
        <f t="shared" si="4"/>
        <v>1</v>
      </c>
      <c r="AI32" s="48">
        <f t="shared" si="5"/>
        <v>13</v>
      </c>
      <c r="AJ32" s="49">
        <f t="shared" si="9"/>
        <v>-195</v>
      </c>
      <c r="AK32" s="49">
        <f>SUM($AJ$4:AJ32)</f>
        <v>-90</v>
      </c>
      <c r="AL32" s="50">
        <f t="shared" si="6"/>
        <v>0</v>
      </c>
      <c r="AM32" s="50">
        <f t="shared" si="7"/>
        <v>0</v>
      </c>
      <c r="AN32" s="50">
        <f t="shared" si="0"/>
        <v>0</v>
      </c>
      <c r="AO32" s="2"/>
      <c r="AP32" s="2"/>
      <c r="AR32" s="51"/>
      <c r="AS32" s="51"/>
      <c r="AT32" s="59"/>
      <c r="AX32" s="51"/>
      <c r="AZ32" s="51"/>
      <c r="BB32" s="51"/>
    </row>
    <row r="33" spans="1:54" ht="13.5" customHeight="1" thickBot="1">
      <c r="A33" s="2"/>
      <c r="B33" s="25"/>
      <c r="C33" s="100"/>
      <c r="D33" s="75"/>
      <c r="E33" s="26"/>
      <c r="F33" s="76"/>
      <c r="G33" s="26"/>
      <c r="H33" s="26"/>
      <c r="I33" s="26"/>
      <c r="J33" s="177"/>
      <c r="K33" s="26"/>
      <c r="L33" s="26"/>
      <c r="M33" s="29"/>
      <c r="N33" s="107">
        <f t="shared" si="11"/>
        <v>610</v>
      </c>
      <c r="O33" s="95"/>
      <c r="P33" s="101"/>
      <c r="Q33" s="2"/>
      <c r="R33" s="2"/>
      <c r="S33" s="2"/>
      <c r="T33" s="2"/>
      <c r="U33" s="2"/>
      <c r="V33" s="2"/>
      <c r="W33" s="2"/>
      <c r="X33" s="2"/>
      <c r="Y33" s="2"/>
      <c r="Z33" s="45">
        <f t="shared" si="8"/>
        <v>30</v>
      </c>
      <c r="AA33" s="140" t="s">
        <v>26</v>
      </c>
      <c r="AB33" s="141">
        <f t="shared" si="1"/>
      </c>
      <c r="AC33" s="1"/>
      <c r="AD33" s="98">
        <f t="shared" si="2"/>
        <v>1</v>
      </c>
      <c r="AE33" s="98">
        <f t="shared" si="10"/>
        <v>15</v>
      </c>
      <c r="AF33" s="98">
        <f>SUM($AE$4:AE33)</f>
        <v>330</v>
      </c>
      <c r="AG33" s="47">
        <f t="shared" si="3"/>
        <v>1</v>
      </c>
      <c r="AH33" s="47">
        <f t="shared" si="4"/>
        <v>1</v>
      </c>
      <c r="AI33" s="99">
        <f t="shared" si="5"/>
        <v>21</v>
      </c>
      <c r="AJ33" s="99">
        <f t="shared" si="9"/>
        <v>-315</v>
      </c>
      <c r="AK33" s="99">
        <f>SUM($AJ$4:AJ33)</f>
        <v>-405</v>
      </c>
      <c r="AL33" s="50">
        <f t="shared" si="6"/>
        <v>0</v>
      </c>
      <c r="AM33" s="50">
        <f t="shared" si="7"/>
        <v>0</v>
      </c>
      <c r="AN33" s="50">
        <f t="shared" si="0"/>
        <v>0</v>
      </c>
      <c r="AO33" s="2"/>
      <c r="AP33" s="2"/>
      <c r="AR33" s="51"/>
      <c r="AS33" s="51"/>
      <c r="AT33" s="59"/>
      <c r="AX33" s="51"/>
      <c r="AZ33" s="51"/>
      <c r="BB33" s="51"/>
    </row>
    <row r="34" spans="1:54" ht="14.25" customHeight="1" thickBot="1">
      <c r="A34" s="2"/>
      <c r="B34" s="25"/>
      <c r="C34" s="100"/>
      <c r="D34" s="75"/>
      <c r="E34" s="26"/>
      <c r="F34" s="76"/>
      <c r="G34" s="26"/>
      <c r="H34" s="26"/>
      <c r="I34" s="26"/>
      <c r="J34" s="26"/>
      <c r="K34" s="26"/>
      <c r="L34" s="78">
        <f>IF(SUM($G$31:$G$36)&gt;20,SUM($G$31:$G$36)-20,IF(SUM($G$31:$G$36)&gt;=10,SUM($G$31:$G$36)-10,SUM($G$31:$G$36)))</f>
        <v>9</v>
      </c>
      <c r="M34" s="29"/>
      <c r="N34" s="110">
        <f t="shared" si="11"/>
        <v>987</v>
      </c>
      <c r="O34" s="95"/>
      <c r="P34" s="101"/>
      <c r="Q34" s="102" t="s">
        <v>14</v>
      </c>
      <c r="R34" s="103"/>
      <c r="S34" s="103"/>
      <c r="T34" s="103"/>
      <c r="U34" s="2"/>
      <c r="V34" s="102" t="s">
        <v>14</v>
      </c>
      <c r="W34" s="103"/>
      <c r="X34" s="103"/>
      <c r="Y34" s="103"/>
      <c r="Z34" s="45">
        <f t="shared" si="8"/>
        <v>31</v>
      </c>
      <c r="AA34" s="136" t="s">
        <v>27</v>
      </c>
      <c r="AB34" s="137" t="str">
        <f t="shared" si="1"/>
        <v>Win</v>
      </c>
      <c r="AC34" s="1"/>
      <c r="AD34" s="46">
        <f>ROUND(IF(AND(AA33="",AD33=1),2,IF(AND(AA33="",AD33=2),3,IF(AND(AA33="",AD33=3),5,IF(AND(AA33="",AD33=5),8,IF(AND(AA33="",AD33=8),13,IF(AND(AA33="",AD33=13),21,34))))))+IF(AND(AA33="",AD33=34),55-34,IF(AA33="",0,-34/6))+IF(AND(AA33="",AD33=55),89-34,IF(AA33="",0,-34/6))+IF(AND(AA33="",AD33=89),144-34,IF(AA33="",0,-34/6))+IF(AND(AA33="",AD33=144),233-34,IF(AA33="",0,-34/6))+IF(AND(AA33="",AD33=233),377-34,IF(AA33="",0,-34/6))+IF(AND(AA33="",AD33=377),610-34,IF(AA33="",0,-34/6))+AG34,0)</f>
        <v>1</v>
      </c>
      <c r="AE34" s="46">
        <f t="shared" si="10"/>
        <v>-15</v>
      </c>
      <c r="AF34" s="46">
        <f>SUM($AE$4:AE34)</f>
        <v>315</v>
      </c>
      <c r="AG34" s="47">
        <f>IF(AND(AA33="Win",AD33=610),377,IF(AND(AA33="Win",AD33=377),233,IF(AND(AA33="Win",AD33=233),144,IF(AND(AA33="Win",AD33=144),89,IF(AND(AA33="Win",AD33=89),55,IF(AND(AA33="Win",AD33=55),34,IF(AND(AA33="Win",AD33=34),21,AH34)))))))+IF(AND(AA33="Win",OR(AA32="Win",AA31="Win")),IF(AD33=610,-144,0))+IF(AND(AA33="Win",OR(AA32="Win",AA31="Win")),IF(AD33=377,-89,0))+IF(AND(AA33="Win",OR(AA32="Win",AA31="Win")),IF(AD33=233,-55,0))+IF(AND(AA33="Win",OR(AA32="Win",AA31="Win")),IF(AD33=144,-34,0))+IF(AND(AA33="Win",OR(AA32="Win",AA31="Win")),IF(AD33=89,-21,0))+IF(AND(AA33="Win",OR(AA32="Win",AA31="Win")),IF(AD33=55,-13,0))+IF(AND(AA33="Win",OR(AA32="Win",AA31="Win")),IF(AD33=34,-8,0))+IF(AND(AA33="Win",OR(AA32="Win",AA31="Win")),IF(AD33=21,-5,0))</f>
        <v>1</v>
      </c>
      <c r="AH34" s="47">
        <f>IF(AND(AA33="Win",AD33=21),13,IF(AND(AA33="Win",AD33=13),8,IF(AND(AA33="Win",AD33=8),5,IF(AND(AA33="Win",AD33=5),3,IF(AND(AA33="Win",AD33=3),2,IF(AND(AA33="Win",AD33=2),1,IF(AND(AA33="Win",AD33=1),1,0)))))))+IF(AND(AA33="Win",OR(AA32="Win",AA31="Win")),IF(AD33=13,-3,0))+IF(AND(AA33="Win",OR(AA32="Win",AA31="Win")),IF(AD33=8,-2,0))</f>
        <v>1</v>
      </c>
      <c r="AI34" s="48">
        <f>ROUND(IF(AND(AB33="",AI33=1),2,IF(AND(AB33="",AI33=2),3,IF(AND(AB33="",AI33=3),5,IF(AND(AB33="",AI33=5),8,IF(AND(AB33="",AI33=8),13,IF(AND(AB33="",AI33=13),21,34))))))+IF(AND(AB33="",AI33=34),55-34,IF(AB33="",0,-34/6))+IF(AND(AB33="",AI33=55),89-34,IF(AB33="",0,-34/6))+IF(AND(AB33="",AI33=89),144-34,IF(AB33="",0,-34/6))+IF(AND(AB33="",AI33=144),233-34,IF(AB33="",0,-34/6))+IF(AND(AB33="",AI33=233),377-34,IF(AB33="",0,-34/6))+IF(AND(AB33="",AI33=377),610-34,IF(AB33="",0,-34/6))+AL34,0)</f>
        <v>34</v>
      </c>
      <c r="AJ34" s="49">
        <f t="shared" si="9"/>
        <v>510</v>
      </c>
      <c r="AK34" s="49">
        <f>SUM($AJ$4:AJ34)</f>
        <v>105</v>
      </c>
      <c r="AL34" s="50">
        <f>IF(AND(AB33="Win",AI33=610),377,IF(AND(AB33="Win",AI33=377),233,IF(AND(AB33="Win",AI33=233),144,IF(AND(AB33="Win",AI33=144),89,IF(AND(AB33="Win",AI33=89),55,IF(AND(AB33="Win",AI33=55),34,IF(AND(AB33="Win",AI33=34),21,AM34)))))))+IF(AND(AB33="Win",OR(AB32="Win",AB31="Win")),IF(AI33=610,-144,0))+IF(AND(AB33="Win",OR(AB32="Win",AB31="Win")),IF(AI33=377,-89,0))+IF(AND(AB33="Win",OR(AB32="Win",AB31="Win")),IF(AI33=233,-55,0))+IF(AND(AB33="Win",OR(AB32="Win",AB31="Win")),IF(AI33=144,-34,0))+IF(AND(AB33="Win",OR(AB32="Win",AB31="Win")),IF(AI33=89,-21,0))+IF(AND(AB33="Win",OR(AB32="Win",AB31="Win")),IF(AI33=55,-13,0))+IF(AND(AB33="Win",OR(AB32="Win",AB31="Win")),IF(AI33=34,-8,0))+IF(AND(AB33="Win",OR(AB32="Win",AB31="Win")),IF(AI33=21,-5,0))</f>
        <v>0</v>
      </c>
      <c r="AM34" s="50">
        <f>IF(AND(AB33="Win",AI33=21),13,IF(AND(AB33="Win",AI33=13),8,IF(AND(AB33="Win",AI33=8),5,IF(AND(AB33="Win",AI33=5),3,IF(AND(AB33="Win",AI33=3),2,IF(AND(AB33="Win",AI33=2),1,IF(AND(AB33="Win",AI33=1),1,0)))))))+IF(AND(AB33="Win",OR(AB32="Win",AB31="Win")),IF(AI33=13,-3,0))+IF(AND(AB33="Win",OR(AB32="Win",AB31="Win")),IF(AI33=8,-2,0))</f>
        <v>0</v>
      </c>
      <c r="AN34" s="50">
        <f t="shared" si="0"/>
        <v>510</v>
      </c>
      <c r="AO34" s="2"/>
      <c r="AP34" s="2"/>
      <c r="AR34" s="51"/>
      <c r="AS34" s="51"/>
      <c r="AT34" s="59"/>
      <c r="AX34" s="51"/>
      <c r="AZ34" s="51"/>
      <c r="BB34" s="51"/>
    </row>
    <row r="35" spans="1:54" ht="13.5" customHeight="1" thickTop="1">
      <c r="A35" s="2"/>
      <c r="B35" s="25"/>
      <c r="C35" s="152" t="s">
        <v>16</v>
      </c>
      <c r="D35" s="79"/>
      <c r="E35" s="80" t="s">
        <v>7</v>
      </c>
      <c r="F35" s="81">
        <f>RANDBETWEEN(1,4)</f>
        <v>3</v>
      </c>
      <c r="G35" s="154">
        <f>IF(SUM(V20:Y32)=10,0,SUM(V20:Y32))</f>
        <v>9</v>
      </c>
      <c r="H35" s="26"/>
      <c r="I35" s="192" t="str">
        <f>IF(J31="HOLD","2-CARD VALUE =",IF(J31="GOT A CARD","","2-CARD VALUE ="))</f>
        <v>2-CARD VALUE =</v>
      </c>
      <c r="J35" s="193"/>
      <c r="K35" s="194"/>
      <c r="L35" s="161">
        <f>IF(AND(L34=4,OR(G17=0,G17=1,G17=8,G17=9)),L34,IF(AND(L34=3,G17=8),L34,IF(AND(L34=5,OR(G17=4,G17=5,G17=6,G17=7)=FALSE),L34,IF(AND(L34=6,OR(G17=6,G17=7)=FALSE),L34,IF(I35="","",L34)))))</f>
        <v>9</v>
      </c>
      <c r="M35" s="29"/>
      <c r="N35" s="110">
        <f t="shared" si="11"/>
        <v>1597</v>
      </c>
      <c r="O35" s="53">
        <v>1</v>
      </c>
      <c r="P35" s="54" t="s">
        <v>9</v>
      </c>
      <c r="Q35" s="55">
        <f>IF(AND($F$17=1,$F$18=1)=TRUE,1,"")</f>
      </c>
      <c r="R35" s="56">
        <f>IF(AND($F$17=2,$F$18=1)=TRUE,1,"")</f>
      </c>
      <c r="S35" s="57">
        <f>IF(AND($F$17=3,$F$18=1)=TRUE,1,"")</f>
      </c>
      <c r="T35" s="57">
        <f>IF(AND($F$17=4,$F$18=1)=TRUE,1,"")</f>
      </c>
      <c r="U35" s="2"/>
      <c r="V35" s="55">
        <f>IF(AND($F$39=1,$F$40=1)=TRUE,1,"")</f>
      </c>
      <c r="W35" s="56">
        <f>IF(AND($F$39=2,$F$40=1)=TRUE,1,"")</f>
      </c>
      <c r="X35" s="57">
        <f>IF(AND($F$39=3,$F$40=1)=TRUE,1,"")</f>
      </c>
      <c r="Y35" s="57">
        <f>IF(AND($F$39=4,$F$40=1)=TRUE,1,"")</f>
      </c>
      <c r="Z35" s="45">
        <f t="shared" si="8"/>
        <v>32</v>
      </c>
      <c r="AA35" s="136" t="s">
        <v>26</v>
      </c>
      <c r="AB35" s="137">
        <f t="shared" si="1"/>
      </c>
      <c r="AC35" s="1"/>
      <c r="AD35" s="46">
        <f aca="true" t="shared" si="12" ref="AD35:AD48">ROUND(IF(AND(AA34="",AD34=1),2,IF(AND(AA34="",AD34=2),3,IF(AND(AA34="",AD34=3),5,IF(AND(AA34="",AD34=5),8,IF(AND(AA34="",AD34=8),13,IF(AND(AA34="",AD34=13),21,34))))))+IF(AND(AA34="",AD34=34),55-34,IF(AA34="",0,-34/6))+IF(AND(AA34="",AD34=55),89-34,IF(AA34="",0,-34/6))+IF(AND(AA34="",AD34=89),144-34,IF(AA34="",0,-34/6))+IF(AND(AA34="",AD34=144),233-34,IF(AA34="",0,-34/6))+IF(AND(AA34="",AD34=233),377-34,IF(AA34="",0,-34/6))+IF(AND(AA34="",AD34=377),610-34,IF(AA34="",0,-34/6))+AG35,0)</f>
        <v>2</v>
      </c>
      <c r="AE35" s="46">
        <f t="shared" si="10"/>
        <v>30</v>
      </c>
      <c r="AF35" s="46">
        <f>SUM($AE$4:AE35)</f>
        <v>345</v>
      </c>
      <c r="AG35" s="47">
        <f aca="true" t="shared" si="13" ref="AG35:AG48">IF(AND(AA34="Win",AD34=610),377,IF(AND(AA34="Win",AD34=377),233,IF(AND(AA34="Win",AD34=233),144,IF(AND(AA34="Win",AD34=144),89,IF(AND(AA34="Win",AD34=89),55,IF(AND(AA34="Win",AD34=55),34,IF(AND(AA34="Win",AD34=34),21,AH35)))))))+IF(AND(AA34="Win",OR(AA33="Win",AA32="Win")),IF(AD34=610,-144,0))+IF(AND(AA34="Win",OR(AA33="Win",AA32="Win")),IF(AD34=377,-89,0))+IF(AND(AA34="Win",OR(AA33="Win",AA32="Win")),IF(AD34=233,-55,0))+IF(AND(AA34="Win",OR(AA33="Win",AA32="Win")),IF(AD34=144,-34,0))+IF(AND(AA34="Win",OR(AA33="Win",AA32="Win")),IF(AD34=89,-21,0))+IF(AND(AA34="Win",OR(AA33="Win",AA32="Win")),IF(AD34=55,-13,0))+IF(AND(AA34="Win",OR(AA33="Win",AA32="Win")),IF(AD34=34,-8,0))+IF(AND(AA34="Win",OR(AA33="Win",AA32="Win")),IF(AD34=21,-5,0))</f>
        <v>0</v>
      </c>
      <c r="AH35" s="47">
        <f aca="true" t="shared" si="14" ref="AH35:AH48">IF(AND(AA34="Win",AD34=21),13,IF(AND(AA34="Win",AD34=13),8,IF(AND(AA34="Win",AD34=8),5,IF(AND(AA34="Win",AD34=5),3,IF(AND(AA34="Win",AD34=3),2,IF(AND(AA34="Win",AD34=2),1,IF(AND(AA34="Win",AD34=1),1,0)))))))+IF(AND(AA34="Win",OR(AA33="Win",AA32="Win")),IF(AD34=13,-3,0))+IF(AND(AA34="Win",OR(AA33="Win",AA32="Win")),IF(AD34=8,-2,0))</f>
        <v>0</v>
      </c>
      <c r="AI35" s="48">
        <f aca="true" t="shared" si="15" ref="AI35:AI48">ROUND(IF(AND(AB34="",AI34=1),2,IF(AND(AB34="",AI34=2),3,IF(AND(AB34="",AI34=3),5,IF(AND(AB34="",AI34=5),8,IF(AND(AB34="",AI34=8),13,IF(AND(AB34="",AI34=13),21,34))))))+IF(AND(AB34="",AI34=34),55-34,IF(AB34="",0,-34/6))+IF(AND(AB34="",AI34=55),89-34,IF(AB34="",0,-34/6))+IF(AND(AB34="",AI34=89),144-34,IF(AB34="",0,-34/6))+IF(AND(AB34="",AI34=144),233-34,IF(AB34="",0,-34/6))+IF(AND(AB34="",AI34=233),377-34,IF(AB34="",0,-34/6))+IF(AND(AB34="",AI34=377),610-34,IF(AB34="",0,-34/6))+AL35,0)</f>
        <v>21</v>
      </c>
      <c r="AJ35" s="49">
        <f t="shared" si="9"/>
        <v>-315</v>
      </c>
      <c r="AK35" s="49">
        <f>SUM($AJ$4:AJ35)</f>
        <v>-210</v>
      </c>
      <c r="AL35" s="50">
        <f aca="true" t="shared" si="16" ref="AL35:AL48">IF(AND(AB34="Win",AI34=610),377,IF(AND(AB34="Win",AI34=377),233,IF(AND(AB34="Win",AI34=233),144,IF(AND(AB34="Win",AI34=144),89,IF(AND(AB34="Win",AI34=89),55,IF(AND(AB34="Win",AI34=55),34,IF(AND(AB34="Win",AI34=34),21,AM35)))))))+IF(AND(AB34="Win",OR(AB33="Win",AB32="Win")),IF(AI34=610,-144,0))+IF(AND(AB34="Win",OR(AB33="Win",AB32="Win")),IF(AI34=377,-89,0))+IF(AND(AB34="Win",OR(AB33="Win",AB32="Win")),IF(AI34=233,-55,0))+IF(AND(AB34="Win",OR(AB33="Win",AB32="Win")),IF(AI34=144,-34,0))+IF(AND(AB34="Win",OR(AB33="Win",AB32="Win")),IF(AI34=89,-21,0))+IF(AND(AB34="Win",OR(AB33="Win",AB32="Win")),IF(AI34=55,-13,0))+IF(AND(AB34="Win",OR(AB33="Win",AB32="Win")),IF(AI34=34,-8,0))+IF(AND(AB34="Win",OR(AB33="Win",AB32="Win")),IF(AI34=21,-5,0))</f>
        <v>21</v>
      </c>
      <c r="AM35" s="50">
        <f aca="true" t="shared" si="17" ref="AM35:AM48">IF(AND(AB34="Win",AI34=21),13,IF(AND(AB34="Win",AI34=13),8,IF(AND(AB34="Win",AI34=8),5,IF(AND(AB34="Win",AI34=5),3,IF(AND(AB34="Win",AI34=3),2,IF(AND(AB34="Win",AI34=2),1,IF(AND(AB34="Win",AI34=1),1,0)))))))+IF(AND(AB34="Win",OR(AB33="Win",AB32="Win")),IF(AI34=13,-3,0))+IF(AND(AB34="Win",OR(AB33="Win",AB32="Win")),IF(AI34=8,-2,0))</f>
        <v>0</v>
      </c>
      <c r="AN35" s="50">
        <f t="shared" si="0"/>
        <v>0</v>
      </c>
      <c r="AO35" s="2"/>
      <c r="AP35" s="2"/>
      <c r="AR35" s="51"/>
      <c r="AS35" s="51"/>
      <c r="AT35" s="59"/>
      <c r="AX35" s="51"/>
      <c r="AZ35" s="51"/>
      <c r="BB35" s="51"/>
    </row>
    <row r="36" spans="1:54" ht="13.5" thickBot="1">
      <c r="A36" s="2"/>
      <c r="B36" s="25"/>
      <c r="C36" s="153"/>
      <c r="D36" s="85"/>
      <c r="E36" s="86" t="s">
        <v>8</v>
      </c>
      <c r="F36" s="87">
        <f>RANDBETWEEN(1,13)</f>
        <v>9</v>
      </c>
      <c r="G36" s="154"/>
      <c r="H36" s="26"/>
      <c r="I36" s="195"/>
      <c r="J36" s="196"/>
      <c r="K36" s="197"/>
      <c r="L36" s="161"/>
      <c r="M36" s="29"/>
      <c r="N36" s="110">
        <f t="shared" si="11"/>
        <v>2584</v>
      </c>
      <c r="O36" s="53">
        <v>2</v>
      </c>
      <c r="P36" s="54">
        <v>2</v>
      </c>
      <c r="Q36" s="60">
        <f>IF(AND($F$17=1,$F$18=2)=TRUE,2,"")</f>
      </c>
      <c r="R36" s="61">
        <f>IF(AND($F$17=2,$F$18=2)=TRUE,2,"")</f>
      </c>
      <c r="S36" s="62">
        <f>IF(AND($F$17=3,$F$18=2)=TRUE,2,"")</f>
      </c>
      <c r="T36" s="62">
        <f>IF(AND($F$17=4,$F$18=2)=TRUE,2,"")</f>
      </c>
      <c r="U36" s="2"/>
      <c r="V36" s="60">
        <f>IF(AND($F$39=1,$F$40=2)=TRUE,2,"")</f>
      </c>
      <c r="W36" s="61">
        <f>IF(AND($F$39=2,$F$40=2)=TRUE,2,"")</f>
      </c>
      <c r="X36" s="62">
        <f>IF(AND($F$39=3,$F$40=2)=TRUE,2,"")</f>
      </c>
      <c r="Y36" s="62">
        <f>IF(AND($F$39=4,$F$40=2)=TRUE,2,"")</f>
      </c>
      <c r="Z36" s="45">
        <f t="shared" si="8"/>
        <v>33</v>
      </c>
      <c r="AA36" s="138" t="s">
        <v>26</v>
      </c>
      <c r="AB36" s="139">
        <f t="shared" si="1"/>
      </c>
      <c r="AC36" s="1"/>
      <c r="AD36" s="63">
        <f t="shared" si="12"/>
        <v>1</v>
      </c>
      <c r="AE36" s="63">
        <f t="shared" si="10"/>
        <v>15</v>
      </c>
      <c r="AF36" s="63">
        <f>SUM($AE$4:AE36)</f>
        <v>360</v>
      </c>
      <c r="AG36" s="47">
        <f t="shared" si="13"/>
        <v>1</v>
      </c>
      <c r="AH36" s="47">
        <f t="shared" si="14"/>
        <v>1</v>
      </c>
      <c r="AI36" s="64">
        <f t="shared" si="15"/>
        <v>34</v>
      </c>
      <c r="AJ36" s="64">
        <f t="shared" si="9"/>
        <v>-510</v>
      </c>
      <c r="AK36" s="64">
        <f>SUM($AJ$4:AJ36)</f>
        <v>-720</v>
      </c>
      <c r="AL36" s="50">
        <f t="shared" si="16"/>
        <v>0</v>
      </c>
      <c r="AM36" s="50">
        <f t="shared" si="17"/>
        <v>0</v>
      </c>
      <c r="AN36" s="50">
        <f t="shared" si="0"/>
        <v>0</v>
      </c>
      <c r="AO36" s="2"/>
      <c r="AP36" s="2"/>
      <c r="AR36" s="51"/>
      <c r="AS36" s="51"/>
      <c r="AT36" s="59"/>
      <c r="AX36" s="51"/>
      <c r="AZ36" s="51"/>
      <c r="BB36" s="51"/>
    </row>
    <row r="37" spans="1:54" ht="13.5" thickTop="1">
      <c r="A37" s="2"/>
      <c r="B37" s="25"/>
      <c r="C37" s="100"/>
      <c r="D37" s="75"/>
      <c r="E37" s="26"/>
      <c r="F37" s="76"/>
      <c r="G37" s="26"/>
      <c r="H37" s="26"/>
      <c r="I37" s="26"/>
      <c r="J37" s="26"/>
      <c r="K37" s="26"/>
      <c r="L37" s="26"/>
      <c r="M37" s="29"/>
      <c r="N37" s="110">
        <f t="shared" si="11"/>
        <v>4181</v>
      </c>
      <c r="O37" s="53">
        <v>3</v>
      </c>
      <c r="P37" s="54">
        <v>3</v>
      </c>
      <c r="Q37" s="60">
        <f>IF(AND($F$17=1,$F$18=3)=TRUE,3,"")</f>
      </c>
      <c r="R37" s="61">
        <f>IF(AND($F$17=2,$F$18=3)=TRUE,3,"")</f>
      </c>
      <c r="S37" s="62">
        <f>IF(AND($F$17=3,$F$18=3)=TRUE,3,"")</f>
      </c>
      <c r="T37" s="62">
        <f>IF(AND($F$17=4,$F$18=3)=TRUE,3,"")</f>
      </c>
      <c r="U37" s="2"/>
      <c r="V37" s="60">
        <f>IF(AND($F$39=1,$F$40=3)=TRUE,3,"")</f>
      </c>
      <c r="W37" s="61">
        <f>IF(AND($F$39=2,$F$40=3)=TRUE,3,"")</f>
      </c>
      <c r="X37" s="62">
        <f>IF(AND($F$39=3,$F$40=3)=TRUE,3,"")</f>
      </c>
      <c r="Y37" s="62">
        <f>IF(AND($F$39=4,$F$40=3)=TRUE,3,"")</f>
      </c>
      <c r="Z37" s="45">
        <f t="shared" si="8"/>
        <v>34</v>
      </c>
      <c r="AA37" s="136" t="s">
        <v>27</v>
      </c>
      <c r="AB37" s="137" t="str">
        <f t="shared" si="1"/>
        <v>Win</v>
      </c>
      <c r="AC37" s="1"/>
      <c r="AD37" s="46">
        <f t="shared" si="12"/>
        <v>1</v>
      </c>
      <c r="AE37" s="46">
        <f t="shared" si="10"/>
        <v>-15</v>
      </c>
      <c r="AF37" s="46">
        <f>SUM($AE$4:AE37)</f>
        <v>345</v>
      </c>
      <c r="AG37" s="47">
        <f t="shared" si="13"/>
        <v>1</v>
      </c>
      <c r="AH37" s="47">
        <f t="shared" si="14"/>
        <v>1</v>
      </c>
      <c r="AI37" s="48">
        <f t="shared" si="15"/>
        <v>55</v>
      </c>
      <c r="AJ37" s="49">
        <f t="shared" si="9"/>
        <v>825</v>
      </c>
      <c r="AK37" s="49">
        <f>SUM($AJ$4:AJ37)</f>
        <v>105</v>
      </c>
      <c r="AL37" s="50">
        <f t="shared" si="16"/>
        <v>0</v>
      </c>
      <c r="AM37" s="50">
        <f t="shared" si="17"/>
        <v>0</v>
      </c>
      <c r="AN37" s="50">
        <f t="shared" si="0"/>
        <v>825</v>
      </c>
      <c r="AO37" s="2"/>
      <c r="AP37" s="2"/>
      <c r="AR37" s="51"/>
      <c r="AS37" s="51"/>
      <c r="AT37" s="59"/>
      <c r="AX37" s="51"/>
      <c r="AZ37" s="51"/>
      <c r="BB37" s="51"/>
    </row>
    <row r="38" spans="1:54" ht="13.5" thickBot="1">
      <c r="A38" s="2"/>
      <c r="B38" s="25"/>
      <c r="C38" s="100"/>
      <c r="D38" s="75"/>
      <c r="E38" s="26"/>
      <c r="F38" s="76"/>
      <c r="G38" s="26"/>
      <c r="H38" s="26"/>
      <c r="I38" s="26"/>
      <c r="J38" s="26"/>
      <c r="K38" s="26"/>
      <c r="L38" s="26"/>
      <c r="M38" s="29"/>
      <c r="N38" s="110">
        <f t="shared" si="11"/>
        <v>6765</v>
      </c>
      <c r="O38" s="53">
        <v>4</v>
      </c>
      <c r="P38" s="54">
        <v>4</v>
      </c>
      <c r="Q38" s="60">
        <f>IF(AND($F$17=1,$F$18=4)=TRUE,4,"")</f>
      </c>
      <c r="R38" s="61">
        <f>IF(AND($F$17=2,$F$18=4)=TRUE,4,"")</f>
      </c>
      <c r="S38" s="62">
        <f>IF(AND($F$17=3,$F$18=4)=TRUE,4,"")</f>
      </c>
      <c r="T38" s="62">
        <f>IF(AND($F$17=4,$F$18=4)=TRUE,4,"")</f>
      </c>
      <c r="U38" s="2"/>
      <c r="V38" s="60">
        <f>IF(AND($F$39=1,$F$40=4)=TRUE,4,"")</f>
      </c>
      <c r="W38" s="61">
        <f>IF(AND($F$39=2,$F$40=4)=TRUE,4,"")</f>
      </c>
      <c r="X38" s="62">
        <f>IF(AND($F$39=3,$F$40=4)=TRUE,4,"")</f>
      </c>
      <c r="Y38" s="62">
        <f>IF(AND($F$39=4,$F$40=4)=TRUE,4,"")</f>
      </c>
      <c r="Z38" s="45">
        <f t="shared" si="8"/>
        <v>35</v>
      </c>
      <c r="AA38" s="136" t="s">
        <v>26</v>
      </c>
      <c r="AB38" s="137">
        <f t="shared" si="1"/>
      </c>
      <c r="AC38" s="1"/>
      <c r="AD38" s="46">
        <f t="shared" si="12"/>
        <v>2</v>
      </c>
      <c r="AE38" s="46">
        <f t="shared" si="10"/>
        <v>30</v>
      </c>
      <c r="AF38" s="46">
        <f>SUM($AE$4:AE38)</f>
        <v>375</v>
      </c>
      <c r="AG38" s="47">
        <f t="shared" si="13"/>
        <v>0</v>
      </c>
      <c r="AH38" s="47">
        <f t="shared" si="14"/>
        <v>0</v>
      </c>
      <c r="AI38" s="48">
        <f t="shared" si="15"/>
        <v>34</v>
      </c>
      <c r="AJ38" s="49">
        <f t="shared" si="9"/>
        <v>-510</v>
      </c>
      <c r="AK38" s="49">
        <f>SUM($AJ$4:AJ38)</f>
        <v>-405</v>
      </c>
      <c r="AL38" s="50">
        <f t="shared" si="16"/>
        <v>34</v>
      </c>
      <c r="AM38" s="50">
        <f t="shared" si="17"/>
        <v>0</v>
      </c>
      <c r="AN38" s="50">
        <f t="shared" si="0"/>
        <v>0</v>
      </c>
      <c r="AO38" s="2"/>
      <c r="AP38" s="2"/>
      <c r="AR38" s="51"/>
      <c r="AS38" s="51"/>
      <c r="AT38" s="59"/>
      <c r="AX38" s="51"/>
      <c r="AZ38" s="51"/>
      <c r="BB38" s="51"/>
    </row>
    <row r="39" spans="1:54" ht="13.5" thickTop="1">
      <c r="A39" s="2"/>
      <c r="B39" s="25"/>
      <c r="C39" s="152" t="s">
        <v>17</v>
      </c>
      <c r="D39" s="88"/>
      <c r="E39" s="89" t="s">
        <v>7</v>
      </c>
      <c r="F39" s="90">
        <f>RANDBETWEEN(1,4)</f>
        <v>1</v>
      </c>
      <c r="G39" s="154">
        <f>IF(SUM(V35:Y47)=10,0,SUM(V35:Y47))</f>
        <v>8</v>
      </c>
      <c r="H39" s="26"/>
      <c r="I39" s="155">
        <f>IF(AND(L34=4,OR(G17=0,G17=1,G17=8,G17=9)),"",IF(AND(L34=3,G17=8),"",IF(AND(L34=5,OR(G17=4,G17=5,G17=6,G17=7)=FALSE),"",IF(AND(L34=6,OR(G17=6,G17=7)=FALSE),"",IF(OR(J31="NATURAL",J31="HOLD"),"","3-CARD VALUE =")))))</f>
      </c>
      <c r="J39" s="156"/>
      <c r="K39" s="157"/>
      <c r="L39" s="161">
        <f>IF(OR(J31="NATURAL",J31="HOLD"),"",IF(AND(L34=4,OR(G17=0,G17=1,G17=8,G17=9)),"",IF(AND(L34=3,G17=8),"",IF(AND(L34=5,OR(G17=4,G17=5,G17=6,G17=7)=FALSE),"",IF(AND(L34=6,OR(G17=6,G17=7)=FALSE),"",IF(SUM($G$31:$G$40)&gt;=20,SUM($G$31:$G$40)-20,IF(SUM($G$31:$G$40)&gt;=10,SUM($G$31:$G$40)-10,SUM($G$31:$G$40))))))))</f>
      </c>
      <c r="M39" s="29"/>
      <c r="N39" s="110">
        <f t="shared" si="11"/>
        <v>10946</v>
      </c>
      <c r="O39" s="53">
        <v>5</v>
      </c>
      <c r="P39" s="54">
        <v>5</v>
      </c>
      <c r="Q39" s="60">
        <f>IF(AND($F$17=1,$F$18=5)=TRUE,5,"")</f>
      </c>
      <c r="R39" s="61">
        <f>IF(AND($F$17=2,$F$18=5)=TRUE,5,"")</f>
      </c>
      <c r="S39" s="62">
        <f>IF(AND($F$17=3,$F$18=5)=TRUE,5,"")</f>
      </c>
      <c r="T39" s="62">
        <f>IF(AND($F$17=4,$F$18=5)=TRUE,5,"")</f>
      </c>
      <c r="U39" s="2"/>
      <c r="V39" s="60">
        <f>IF(AND($F$39=1,$F$40=5)=TRUE,5,"")</f>
      </c>
      <c r="W39" s="61">
        <f>IF(AND($F$39=2,$F$40=5)=TRUE,5,"")</f>
      </c>
      <c r="X39" s="62">
        <f>IF(AND($F$39=3,$F$40=5)=TRUE,5,"")</f>
      </c>
      <c r="Y39" s="62">
        <f>IF(AND($F$39=4,$F$40=5)=TRUE,5,"")</f>
      </c>
      <c r="Z39" s="45">
        <f t="shared" si="8"/>
        <v>36</v>
      </c>
      <c r="AA39" s="138" t="s">
        <v>26</v>
      </c>
      <c r="AB39" s="139">
        <f t="shared" si="1"/>
      </c>
      <c r="AC39" s="1"/>
      <c r="AD39" s="63">
        <f t="shared" si="12"/>
        <v>1</v>
      </c>
      <c r="AE39" s="63">
        <f t="shared" si="10"/>
        <v>15</v>
      </c>
      <c r="AF39" s="63">
        <f>SUM($AE$4:AE39)</f>
        <v>390</v>
      </c>
      <c r="AG39" s="47">
        <f t="shared" si="13"/>
        <v>1</v>
      </c>
      <c r="AH39" s="47">
        <f t="shared" si="14"/>
        <v>1</v>
      </c>
      <c r="AI39" s="64">
        <f t="shared" si="15"/>
        <v>55</v>
      </c>
      <c r="AJ39" s="64">
        <f t="shared" si="9"/>
        <v>-825</v>
      </c>
      <c r="AK39" s="64">
        <f>SUM($AJ$4:AJ39)</f>
        <v>-1230</v>
      </c>
      <c r="AL39" s="50">
        <f t="shared" si="16"/>
        <v>0</v>
      </c>
      <c r="AM39" s="50">
        <f t="shared" si="17"/>
        <v>0</v>
      </c>
      <c r="AN39" s="50">
        <f t="shared" si="0"/>
        <v>0</v>
      </c>
      <c r="AO39" s="2"/>
      <c r="AP39" s="2"/>
      <c r="AR39" s="51"/>
      <c r="AS39" s="51"/>
      <c r="AT39" s="59"/>
      <c r="AX39" s="51"/>
      <c r="AZ39" s="51"/>
      <c r="BB39" s="51"/>
    </row>
    <row r="40" spans="1:54" ht="13.5" thickBot="1">
      <c r="A40" s="2"/>
      <c r="B40" s="25"/>
      <c r="C40" s="153"/>
      <c r="D40" s="92"/>
      <c r="E40" s="93" t="s">
        <v>8</v>
      </c>
      <c r="F40" s="94">
        <f>RANDBETWEEN(1,13)</f>
        <v>8</v>
      </c>
      <c r="G40" s="154"/>
      <c r="H40" s="26"/>
      <c r="I40" s="158"/>
      <c r="J40" s="134"/>
      <c r="K40" s="135"/>
      <c r="L40" s="161"/>
      <c r="M40" s="29"/>
      <c r="N40" s="2"/>
      <c r="O40" s="53">
        <v>6</v>
      </c>
      <c r="P40" s="54">
        <v>6</v>
      </c>
      <c r="Q40" s="60">
        <f>IF(AND($F$17=1,$F$18=6)=TRUE,6,"")</f>
      </c>
      <c r="R40" s="61">
        <f>IF(AND($F$17=2,$F$18=6)=TRUE,6,"")</f>
      </c>
      <c r="S40" s="62">
        <f>IF(AND($F$17=3,$F$18=6)=TRUE,6,"")</f>
      </c>
      <c r="T40" s="62">
        <f>IF(AND($F$17=4,$F$18=6)=TRUE,6,"")</f>
      </c>
      <c r="U40" s="2"/>
      <c r="V40" s="60">
        <f>IF(AND($F$39=1,$F$40=6)=TRUE,6,"")</f>
      </c>
      <c r="W40" s="61">
        <f>IF(AND($F$39=2,$F$40=6)=TRUE,6,"")</f>
      </c>
      <c r="X40" s="62">
        <f>IF(AND($F$39=3,$F$40=6)=TRUE,6,"")</f>
      </c>
      <c r="Y40" s="62">
        <f>IF(AND($F$39=4,$F$40=6)=TRUE,6,"")</f>
      </c>
      <c r="Z40" s="45">
        <f t="shared" si="8"/>
        <v>37</v>
      </c>
      <c r="AA40" s="136" t="s">
        <v>27</v>
      </c>
      <c r="AB40" s="137" t="str">
        <f t="shared" si="1"/>
        <v>Win</v>
      </c>
      <c r="AC40" s="1"/>
      <c r="AD40" s="46">
        <f t="shared" si="12"/>
        <v>1</v>
      </c>
      <c r="AE40" s="46">
        <f t="shared" si="10"/>
        <v>-15</v>
      </c>
      <c r="AF40" s="46">
        <f>SUM($AE$4:AE40)</f>
        <v>375</v>
      </c>
      <c r="AG40" s="47">
        <f t="shared" si="13"/>
        <v>1</v>
      </c>
      <c r="AH40" s="47">
        <f t="shared" si="14"/>
        <v>1</v>
      </c>
      <c r="AI40" s="48">
        <f t="shared" si="15"/>
        <v>89</v>
      </c>
      <c r="AJ40" s="49">
        <f t="shared" si="9"/>
        <v>1335</v>
      </c>
      <c r="AK40" s="49">
        <f>SUM($AJ$4:AJ40)</f>
        <v>105</v>
      </c>
      <c r="AL40" s="50">
        <f t="shared" si="16"/>
        <v>0</v>
      </c>
      <c r="AM40" s="50">
        <f t="shared" si="17"/>
        <v>0</v>
      </c>
      <c r="AN40" s="50">
        <f t="shared" si="0"/>
        <v>1335</v>
      </c>
      <c r="AO40" s="2"/>
      <c r="AP40" s="2"/>
      <c r="AR40" s="51"/>
      <c r="AS40" s="51"/>
      <c r="AT40" s="59"/>
      <c r="AX40" s="51"/>
      <c r="AZ40" s="51"/>
      <c r="BB40" s="51"/>
    </row>
    <row r="41" spans="1:54" ht="13.5" thickTop="1">
      <c r="A41" s="2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/>
      <c r="N41" s="2"/>
      <c r="O41" s="53">
        <v>7</v>
      </c>
      <c r="P41" s="54">
        <v>7</v>
      </c>
      <c r="Q41" s="60">
        <f>IF(AND($F$17=1,$F$18=7)=TRUE,7,"")</f>
      </c>
      <c r="R41" s="61">
        <f>IF(AND($F$17=2,$F$18=7)=TRUE,7,"")</f>
        <v>7</v>
      </c>
      <c r="S41" s="62">
        <f>IF(AND($F$17=3,$F$18=7)=TRUE,7,"")</f>
      </c>
      <c r="T41" s="62">
        <f>IF(AND($F$17=4,$F$18=7)=TRUE,7,"")</f>
      </c>
      <c r="U41" s="2"/>
      <c r="V41" s="60">
        <f>IF(AND($F$39=1,$F$40=7)=TRUE,7,"")</f>
      </c>
      <c r="W41" s="61">
        <f>IF(AND($F$39=2,$F$40=7)=TRUE,7,"")</f>
      </c>
      <c r="X41" s="62">
        <f>IF(AND($F$39=3,$F$40=7)=TRUE,7,"")</f>
      </c>
      <c r="Y41" s="62">
        <f>IF(AND($F$39=4,$F$40=7)=TRUE,7,"")</f>
      </c>
      <c r="Z41" s="45">
        <f t="shared" si="8"/>
        <v>38</v>
      </c>
      <c r="AA41" s="136" t="s">
        <v>27</v>
      </c>
      <c r="AB41" s="137" t="str">
        <f t="shared" si="1"/>
        <v>Win</v>
      </c>
      <c r="AC41" s="1"/>
      <c r="AD41" s="46">
        <f t="shared" si="12"/>
        <v>2</v>
      </c>
      <c r="AE41" s="46">
        <f t="shared" si="10"/>
        <v>-30</v>
      </c>
      <c r="AF41" s="46">
        <f>SUM($AE$4:AE41)</f>
        <v>345</v>
      </c>
      <c r="AG41" s="47">
        <f t="shared" si="13"/>
        <v>0</v>
      </c>
      <c r="AH41" s="47">
        <f t="shared" si="14"/>
        <v>0</v>
      </c>
      <c r="AI41" s="48">
        <f t="shared" si="15"/>
        <v>55</v>
      </c>
      <c r="AJ41" s="49">
        <f t="shared" si="9"/>
        <v>825</v>
      </c>
      <c r="AK41" s="49">
        <f>SUM($AJ$4:AJ41)</f>
        <v>930</v>
      </c>
      <c r="AL41" s="50">
        <f t="shared" si="16"/>
        <v>55</v>
      </c>
      <c r="AM41" s="50">
        <f t="shared" si="17"/>
        <v>0</v>
      </c>
      <c r="AN41" s="50">
        <f t="shared" si="0"/>
        <v>825</v>
      </c>
      <c r="AO41" s="2"/>
      <c r="AP41" s="2"/>
      <c r="AR41" s="51"/>
      <c r="AS41" s="51"/>
      <c r="AT41" s="59"/>
      <c r="AX41" s="51"/>
      <c r="AZ41" s="51"/>
      <c r="BB41" s="51"/>
    </row>
    <row r="42" spans="1:54" ht="13.5" thickBot="1">
      <c r="A42" s="2"/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2"/>
      <c r="O42" s="53">
        <v>8</v>
      </c>
      <c r="P42" s="54">
        <v>8</v>
      </c>
      <c r="Q42" s="60">
        <f>IF(AND($F$17=1,$F$18=8)=TRUE,8,"")</f>
      </c>
      <c r="R42" s="61">
        <f>IF(AND($F$17=2,$F$18=8)=TRUE,8,"")</f>
      </c>
      <c r="S42" s="62">
        <f>IF(AND($F$17=3,$F$18=8)=TRUE,8,"")</f>
      </c>
      <c r="T42" s="62">
        <f>IF(AND($F$17=4,$F$18=8)=TRUE,8,"")</f>
      </c>
      <c r="U42" s="2"/>
      <c r="V42" s="60">
        <f>IF(AND($F$39=1,$F$40=8)=TRUE,8,"")</f>
        <v>8</v>
      </c>
      <c r="W42" s="61">
        <f>IF(AND($F$39=2,$F$40=8)=TRUE,8,"")</f>
      </c>
      <c r="X42" s="62">
        <f>IF(AND($F$39=3,$F$40=8)=TRUE,8,"")</f>
      </c>
      <c r="Y42" s="62">
        <f>IF(AND($F$39=4,$F$40=8)=TRUE,8,"")</f>
      </c>
      <c r="Z42" s="45">
        <f t="shared" si="8"/>
        <v>39</v>
      </c>
      <c r="AA42" s="138" t="s">
        <v>26</v>
      </c>
      <c r="AB42" s="139">
        <f t="shared" si="1"/>
      </c>
      <c r="AC42" s="1"/>
      <c r="AD42" s="63">
        <f t="shared" si="12"/>
        <v>3</v>
      </c>
      <c r="AE42" s="63">
        <f t="shared" si="10"/>
        <v>45</v>
      </c>
      <c r="AF42" s="63">
        <f>SUM($AE$4:AE42)</f>
        <v>390</v>
      </c>
      <c r="AG42" s="47">
        <f t="shared" si="13"/>
        <v>0</v>
      </c>
      <c r="AH42" s="47">
        <f t="shared" si="14"/>
        <v>0</v>
      </c>
      <c r="AI42" s="64">
        <f t="shared" si="15"/>
        <v>21</v>
      </c>
      <c r="AJ42" s="64">
        <f t="shared" si="9"/>
        <v>-315</v>
      </c>
      <c r="AK42" s="64">
        <f>SUM($AJ$4:AJ42)</f>
        <v>615</v>
      </c>
      <c r="AL42" s="50">
        <f t="shared" si="16"/>
        <v>21</v>
      </c>
      <c r="AM42" s="50">
        <f t="shared" si="17"/>
        <v>0</v>
      </c>
      <c r="AN42" s="50">
        <f t="shared" si="0"/>
        <v>0</v>
      </c>
      <c r="AO42" s="2"/>
      <c r="AP42" s="2"/>
      <c r="AR42" s="51"/>
      <c r="AS42" s="51"/>
      <c r="AT42" s="59"/>
      <c r="AX42" s="51"/>
      <c r="AZ42" s="51"/>
      <c r="BB42" s="51"/>
    </row>
    <row r="43" spans="1:54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3">
        <v>9</v>
      </c>
      <c r="P43" s="54">
        <v>9</v>
      </c>
      <c r="Q43" s="82">
        <f>IF(AND($F$17=1,$F$18=9)=TRUE,9,"")</f>
      </c>
      <c r="R43" s="83">
        <f>IF(AND($F$17=2,$F$18=9)=TRUE,9,"")</f>
      </c>
      <c r="S43" s="84">
        <f>IF(AND($F$17=3,$F$18=9)=TRUE,9,"")</f>
      </c>
      <c r="T43" s="84">
        <f>IF(AND($F$17=4,$F$18=9)=TRUE,9,"")</f>
      </c>
      <c r="U43" s="2"/>
      <c r="V43" s="82">
        <f>IF(AND($F$39=1,$F$40=9)=TRUE,9,"")</f>
      </c>
      <c r="W43" s="83">
        <f>IF(AND($F$39=2,$F$40=9)=TRUE,9,"")</f>
      </c>
      <c r="X43" s="84">
        <f>IF(AND($F$39=3,$F$40=9)=TRUE,9,"")</f>
      </c>
      <c r="Y43" s="84">
        <f>IF(AND($F$39=4,$F$40=9)=TRUE,9,"")</f>
      </c>
      <c r="Z43" s="45">
        <f t="shared" si="8"/>
        <v>40</v>
      </c>
      <c r="AA43" s="136" t="s">
        <v>27</v>
      </c>
      <c r="AB43" s="137" t="str">
        <f t="shared" si="1"/>
        <v>Win</v>
      </c>
      <c r="AC43" s="1"/>
      <c r="AD43" s="46">
        <f t="shared" si="12"/>
        <v>2</v>
      </c>
      <c r="AE43" s="46">
        <f t="shared" si="10"/>
        <v>-30</v>
      </c>
      <c r="AF43" s="46">
        <f>SUM($AE$4:AE43)</f>
        <v>360</v>
      </c>
      <c r="AG43" s="47">
        <f t="shared" si="13"/>
        <v>2</v>
      </c>
      <c r="AH43" s="47">
        <f t="shared" si="14"/>
        <v>2</v>
      </c>
      <c r="AI43" s="48">
        <f t="shared" si="15"/>
        <v>34</v>
      </c>
      <c r="AJ43" s="49">
        <f t="shared" si="9"/>
        <v>510</v>
      </c>
      <c r="AK43" s="49">
        <f>SUM($AJ$4:AJ43)</f>
        <v>1125</v>
      </c>
      <c r="AL43" s="50">
        <f t="shared" si="16"/>
        <v>0</v>
      </c>
      <c r="AM43" s="50">
        <f t="shared" si="17"/>
        <v>0</v>
      </c>
      <c r="AN43" s="50">
        <f t="shared" si="0"/>
        <v>510</v>
      </c>
      <c r="AO43" s="2"/>
      <c r="AP43" s="2"/>
      <c r="AR43" s="51"/>
      <c r="AS43" s="51"/>
      <c r="AT43" s="59"/>
      <c r="AX43" s="51"/>
      <c r="AZ43" s="51"/>
      <c r="BB43" s="51"/>
    </row>
    <row r="44" spans="1:5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3">
        <v>0</v>
      </c>
      <c r="P44" s="54">
        <v>10</v>
      </c>
      <c r="Q44" s="60">
        <f>IF(AND($F$17=1,$F$18=10)=TRUE,10,"")</f>
      </c>
      <c r="R44" s="61">
        <f>IF(AND($F$17=2,$F$18=10)=TRUE,10,"")</f>
      </c>
      <c r="S44" s="62">
        <f>IF(AND($F$17=3,$F$18=10)=TRUE,10,"")</f>
      </c>
      <c r="T44" s="62">
        <f>IF(AND($F$17=4,$F$18=10)=TRUE,10,"")</f>
      </c>
      <c r="U44" s="2"/>
      <c r="V44" s="60">
        <f>IF(AND($F$39=1,$F$40=10)=TRUE,10,"")</f>
      </c>
      <c r="W44" s="61">
        <f>IF(AND($F$39=2,$F$40=10)=TRUE,10,"")</f>
      </c>
      <c r="X44" s="62">
        <f>IF(AND($F$39=3,$F$40=10)=TRUE,10,"")</f>
      </c>
      <c r="Y44" s="62">
        <f>IF(AND($F$39=4,$F$40=10)=TRUE,10,"")</f>
      </c>
      <c r="Z44" s="45">
        <f t="shared" si="8"/>
        <v>41</v>
      </c>
      <c r="AA44" s="136" t="s">
        <v>27</v>
      </c>
      <c r="AB44" s="137" t="str">
        <f t="shared" si="1"/>
        <v>Win</v>
      </c>
      <c r="AC44" s="1"/>
      <c r="AD44" s="46">
        <f t="shared" si="12"/>
        <v>3</v>
      </c>
      <c r="AE44" s="46">
        <f t="shared" si="10"/>
        <v>-45</v>
      </c>
      <c r="AF44" s="46">
        <f>SUM($AE$4:AE44)</f>
        <v>315</v>
      </c>
      <c r="AG44" s="47">
        <f t="shared" si="13"/>
        <v>0</v>
      </c>
      <c r="AH44" s="47">
        <f t="shared" si="14"/>
        <v>0</v>
      </c>
      <c r="AI44" s="48">
        <f t="shared" si="15"/>
        <v>13</v>
      </c>
      <c r="AJ44" s="49">
        <f t="shared" si="9"/>
        <v>195</v>
      </c>
      <c r="AK44" s="49">
        <f>SUM($AJ$4:AJ44)</f>
        <v>1320</v>
      </c>
      <c r="AL44" s="50">
        <f t="shared" si="16"/>
        <v>13</v>
      </c>
      <c r="AM44" s="50">
        <f t="shared" si="17"/>
        <v>0</v>
      </c>
      <c r="AN44" s="50">
        <f t="shared" si="0"/>
        <v>195</v>
      </c>
      <c r="AO44" s="2"/>
      <c r="AP44" s="2"/>
      <c r="AR44" s="51"/>
      <c r="AS44" s="51"/>
      <c r="AT44" s="59"/>
      <c r="AX44" s="51"/>
      <c r="AZ44" s="51"/>
      <c r="BB44" s="51"/>
    </row>
    <row r="45" spans="1:5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3">
        <v>0</v>
      </c>
      <c r="P45" s="54" t="s">
        <v>10</v>
      </c>
      <c r="Q45" s="60">
        <f>IF(AND($F$17=1,$F$18=11)=TRUE,"J","")</f>
      </c>
      <c r="R45" s="61">
        <f>IF(AND($F$17=2,$F$18=11)=TRUE,"J","")</f>
      </c>
      <c r="S45" s="62">
        <f>IF(AND($F$17=3,$F$18=11)=TRUE,"J","")</f>
      </c>
      <c r="T45" s="62">
        <f>IF(AND($F$17=4,$F$18=11)=TRUE,"J","")</f>
      </c>
      <c r="U45" s="2"/>
      <c r="V45" s="60">
        <f>IF(AND($F$39=1,$F$40=11)=TRUE,"J","")</f>
      </c>
      <c r="W45" s="61">
        <f>IF(AND($F$39=2,$F$40=11)=TRUE,"J","")</f>
      </c>
      <c r="X45" s="62">
        <f>IF(AND($F$39=3,$F$40=11)=TRUE,"J","")</f>
      </c>
      <c r="Y45" s="62">
        <f>IF(AND($F$39=4,$F$40=11)=TRUE,"J","")</f>
      </c>
      <c r="Z45" s="45">
        <f t="shared" si="8"/>
        <v>42</v>
      </c>
      <c r="AA45" s="138" t="s">
        <v>27</v>
      </c>
      <c r="AB45" s="139" t="str">
        <f t="shared" si="1"/>
        <v>Win</v>
      </c>
      <c r="AC45" s="1"/>
      <c r="AD45" s="63">
        <f t="shared" si="12"/>
        <v>5</v>
      </c>
      <c r="AE45" s="63">
        <f t="shared" si="10"/>
        <v>-75</v>
      </c>
      <c r="AF45" s="63">
        <f>SUM($AE$4:AE45)</f>
        <v>240</v>
      </c>
      <c r="AG45" s="47">
        <f t="shared" si="13"/>
        <v>0</v>
      </c>
      <c r="AH45" s="47">
        <f t="shared" si="14"/>
        <v>0</v>
      </c>
      <c r="AI45" s="64">
        <f t="shared" si="15"/>
        <v>5</v>
      </c>
      <c r="AJ45" s="64">
        <f t="shared" si="9"/>
        <v>75</v>
      </c>
      <c r="AK45" s="64">
        <f>SUM($AJ$4:AJ45)</f>
        <v>1395</v>
      </c>
      <c r="AL45" s="50">
        <f t="shared" si="16"/>
        <v>5</v>
      </c>
      <c r="AM45" s="50">
        <f t="shared" si="17"/>
        <v>5</v>
      </c>
      <c r="AN45" s="50">
        <f t="shared" si="0"/>
        <v>75</v>
      </c>
      <c r="AO45" s="2"/>
      <c r="AP45" s="2"/>
      <c r="AR45" s="51"/>
      <c r="AS45" s="51"/>
      <c r="AT45" s="59"/>
      <c r="AX45" s="51"/>
      <c r="AZ45" s="51"/>
      <c r="BB45" s="51"/>
    </row>
    <row r="46" spans="1:5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3">
        <v>0</v>
      </c>
      <c r="P46" s="54" t="s">
        <v>11</v>
      </c>
      <c r="Q46" s="60">
        <f>IF(AND($F$17=1,$F$18=12)=TRUE,"Q","")</f>
      </c>
      <c r="R46" s="61">
        <f>IF(AND($F$17=2,$F$18=12)=TRUE,"Q","")</f>
      </c>
      <c r="S46" s="62">
        <f>IF(AND($F$17=3,$F$18=12)=TRUE,"Q","")</f>
      </c>
      <c r="T46" s="62">
        <f>IF(AND($F$17=4,$F$18=12)=TRUE,"Q","")</f>
      </c>
      <c r="U46" s="2"/>
      <c r="V46" s="60">
        <f>IF(AND($F$39=1,$F$40=12)=TRUE,"Q","")</f>
      </c>
      <c r="W46" s="61">
        <f>IF(AND($F$39=2,$F$40=12)=TRUE,"Q","")</f>
      </c>
      <c r="X46" s="62">
        <f>IF(AND($F$39=3,$F$40=12)=TRUE,"Q","")</f>
      </c>
      <c r="Y46" s="62">
        <f>IF(AND($F$39=4,$F$40=12)=TRUE,"Q","")</f>
      </c>
      <c r="Z46" s="45">
        <f t="shared" si="8"/>
        <v>43</v>
      </c>
      <c r="AA46" s="136" t="s">
        <v>26</v>
      </c>
      <c r="AB46" s="137">
        <f t="shared" si="1"/>
      </c>
      <c r="AC46" s="1"/>
      <c r="AD46" s="46">
        <f t="shared" si="12"/>
        <v>8</v>
      </c>
      <c r="AE46" s="46">
        <f t="shared" si="10"/>
        <v>120</v>
      </c>
      <c r="AF46" s="46">
        <f>SUM($AE$4:AE46)</f>
        <v>360</v>
      </c>
      <c r="AG46" s="47">
        <f t="shared" si="13"/>
        <v>0</v>
      </c>
      <c r="AH46" s="47">
        <f t="shared" si="14"/>
        <v>0</v>
      </c>
      <c r="AI46" s="48">
        <f t="shared" si="15"/>
        <v>3</v>
      </c>
      <c r="AJ46" s="49">
        <f t="shared" si="9"/>
        <v>-45</v>
      </c>
      <c r="AK46" s="49">
        <f>SUM($AJ$4:AJ46)</f>
        <v>1350</v>
      </c>
      <c r="AL46" s="50">
        <f t="shared" si="16"/>
        <v>3</v>
      </c>
      <c r="AM46" s="50">
        <f t="shared" si="17"/>
        <v>3</v>
      </c>
      <c r="AN46" s="50">
        <f t="shared" si="0"/>
        <v>0</v>
      </c>
      <c r="AO46" s="2"/>
      <c r="AP46" s="2"/>
      <c r="AR46" s="51"/>
      <c r="AS46" s="51"/>
      <c r="AT46" s="59"/>
      <c r="AX46" s="51"/>
      <c r="AZ46" s="51"/>
      <c r="BB46" s="51"/>
    </row>
    <row r="47" spans="1:5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3">
        <v>0</v>
      </c>
      <c r="P47" s="54" t="s">
        <v>12</v>
      </c>
      <c r="Q47" s="82">
        <f>IF(AND($F$17=1,$F$18=13)=TRUE,"K","")</f>
      </c>
      <c r="R47" s="91">
        <f>IF(AND($F$17=2,$F$18=13)=TRUE,"K","")</f>
      </c>
      <c r="S47" s="84">
        <f>IF(AND($F$17=3,$F$18=13)=TRUE,"K","")</f>
      </c>
      <c r="T47" s="84">
        <f>IF(AND($F$17=4,$F$18=13)=TRUE,"K","")</f>
      </c>
      <c r="U47" s="2"/>
      <c r="V47" s="82">
        <f>IF(AND($F$39=1,$F$40=13)=TRUE,"K","")</f>
      </c>
      <c r="W47" s="91">
        <f>IF(AND($F$39=2,$F$40=13)=TRUE,"K","")</f>
      </c>
      <c r="X47" s="84">
        <f>IF(AND($F$39=3,$F$40=13)=TRUE,"K","")</f>
      </c>
      <c r="Y47" s="84">
        <f>IF(AND($F$39=4,$F$40=13)=TRUE,"K","")</f>
      </c>
      <c r="Z47" s="45">
        <f t="shared" si="8"/>
        <v>44</v>
      </c>
      <c r="AA47" s="136" t="s">
        <v>26</v>
      </c>
      <c r="AB47" s="137">
        <f t="shared" si="1"/>
      </c>
      <c r="AC47" s="1"/>
      <c r="AD47" s="46">
        <f t="shared" si="12"/>
        <v>5</v>
      </c>
      <c r="AE47" s="46">
        <f t="shared" si="10"/>
        <v>75</v>
      </c>
      <c r="AF47" s="46">
        <f>SUM($AE$4:AE47)</f>
        <v>435</v>
      </c>
      <c r="AG47" s="47">
        <f t="shared" si="13"/>
        <v>5</v>
      </c>
      <c r="AH47" s="47">
        <f t="shared" si="14"/>
        <v>5</v>
      </c>
      <c r="AI47" s="48">
        <f t="shared" si="15"/>
        <v>5</v>
      </c>
      <c r="AJ47" s="49">
        <f t="shared" si="9"/>
        <v>-75</v>
      </c>
      <c r="AK47" s="49">
        <f>SUM($AJ$4:AJ47)</f>
        <v>1275</v>
      </c>
      <c r="AL47" s="50">
        <f t="shared" si="16"/>
        <v>0</v>
      </c>
      <c r="AM47" s="50">
        <f t="shared" si="17"/>
        <v>0</v>
      </c>
      <c r="AN47" s="50">
        <f t="shared" si="0"/>
        <v>0</v>
      </c>
      <c r="AO47" s="2"/>
      <c r="AP47" s="2"/>
      <c r="AR47" s="51"/>
      <c r="AS47" s="51"/>
      <c r="AT47" s="59"/>
      <c r="AX47" s="51"/>
      <c r="AZ47" s="51"/>
      <c r="BB47" s="51"/>
    </row>
    <row r="48" spans="1:4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5">
        <f t="shared" si="8"/>
        <v>45</v>
      </c>
      <c r="AA48" s="140" t="s">
        <v>27</v>
      </c>
      <c r="AB48" s="141" t="str">
        <f t="shared" si="1"/>
        <v>Win</v>
      </c>
      <c r="AC48" s="1"/>
      <c r="AD48" s="98">
        <f t="shared" si="12"/>
        <v>3</v>
      </c>
      <c r="AE48" s="98">
        <f t="shared" si="10"/>
        <v>-45</v>
      </c>
      <c r="AF48" s="98">
        <f>SUM($AE$4:AE48)</f>
        <v>390</v>
      </c>
      <c r="AG48" s="47">
        <f t="shared" si="13"/>
        <v>3</v>
      </c>
      <c r="AH48" s="47">
        <f t="shared" si="14"/>
        <v>3</v>
      </c>
      <c r="AI48" s="99">
        <f t="shared" si="15"/>
        <v>8</v>
      </c>
      <c r="AJ48" s="111">
        <f t="shared" si="9"/>
        <v>120</v>
      </c>
      <c r="AK48" s="111">
        <f>SUM($AJ$4:AJ48)</f>
        <v>1395</v>
      </c>
      <c r="AL48" s="50">
        <f t="shared" si="16"/>
        <v>0</v>
      </c>
      <c r="AM48" s="50">
        <f t="shared" si="17"/>
        <v>0</v>
      </c>
      <c r="AN48" s="50">
        <f t="shared" si="0"/>
        <v>120</v>
      </c>
      <c r="AO48" s="2"/>
      <c r="AP48" s="2"/>
      <c r="AR48" s="51"/>
    </row>
    <row r="49" spans="1:4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59" t="s">
        <v>40</v>
      </c>
      <c r="O49" s="160"/>
      <c r="P49" s="160"/>
      <c r="Q49" s="160"/>
      <c r="R49" s="160"/>
      <c r="S49" s="2"/>
      <c r="T49" s="2"/>
      <c r="U49" s="2"/>
      <c r="V49" s="2"/>
      <c r="W49" s="2"/>
      <c r="X49" s="2"/>
      <c r="Y49" s="2"/>
      <c r="Z49" s="2"/>
      <c r="AA49" s="112">
        <f>COUNTIF(AA4:AA48,"Win")/45*100</f>
        <v>57.77777777777777</v>
      </c>
      <c r="AB49" s="112">
        <f>COUNTIF(AB4:AB48,"Win")/45*100</f>
        <v>42.22222222222222</v>
      </c>
      <c r="AC49" s="1"/>
      <c r="AD49" s="113" t="s">
        <v>41</v>
      </c>
      <c r="AE49" s="114">
        <f>AF48/AC51</f>
        <v>26</v>
      </c>
      <c r="AF49" s="115">
        <f>AF48</f>
        <v>390</v>
      </c>
      <c r="AG49" s="1"/>
      <c r="AH49" s="1"/>
      <c r="AI49" s="113" t="s">
        <v>41</v>
      </c>
      <c r="AJ49" s="114">
        <f>AK48/AC51</f>
        <v>93</v>
      </c>
      <c r="AK49" s="115">
        <f>AK48-AC52/100*SUM(AN4:AN48)</f>
        <v>1110</v>
      </c>
      <c r="AL49" s="2"/>
      <c r="AM49" s="2"/>
      <c r="AN49" s="2"/>
      <c r="AO49" s="2"/>
      <c r="AP49" s="2"/>
    </row>
    <row r="50" spans="1:4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42" t="s">
        <v>39</v>
      </c>
      <c r="O50" s="216"/>
      <c r="P50" s="216"/>
      <c r="Q50" s="216"/>
      <c r="R50" s="216"/>
      <c r="S50" s="116" t="s">
        <v>0</v>
      </c>
      <c r="T50" s="2"/>
      <c r="U50" s="2"/>
      <c r="V50" s="2"/>
      <c r="W50" s="117"/>
      <c r="X50" s="118"/>
      <c r="Y50" s="118"/>
      <c r="Z50" s="118"/>
      <c r="AA50" s="2"/>
      <c r="AB50" s="2"/>
      <c r="AC50" s="1"/>
      <c r="AD50" s="2"/>
      <c r="AE50" s="2"/>
      <c r="AF50" s="2"/>
      <c r="AG50" s="1"/>
      <c r="AH50" s="1"/>
      <c r="AI50" s="2"/>
      <c r="AJ50" s="2"/>
      <c r="AK50" s="2"/>
      <c r="AL50" s="2"/>
      <c r="AM50" s="2"/>
      <c r="AN50" s="2"/>
      <c r="AO50" s="2"/>
      <c r="AP50" s="2"/>
    </row>
    <row r="51" spans="1:4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19"/>
      <c r="T51" s="2"/>
      <c r="U51" s="2"/>
      <c r="V51" s="2"/>
      <c r="W51" s="2"/>
      <c r="X51" s="147" t="s">
        <v>45</v>
      </c>
      <c r="Y51" s="148"/>
      <c r="Z51" s="149"/>
      <c r="AA51" s="120"/>
      <c r="AB51" s="121" t="s">
        <v>44</v>
      </c>
      <c r="AC51" s="145">
        <v>15</v>
      </c>
      <c r="AD51" s="146"/>
      <c r="AE51" s="122"/>
      <c r="AF51" s="121" t="s">
        <v>34</v>
      </c>
      <c r="AG51" s="123">
        <v>34</v>
      </c>
      <c r="AH51" s="121"/>
      <c r="AI51" s="214" t="s">
        <v>35</v>
      </c>
      <c r="AJ51" s="215"/>
      <c r="AK51" s="124">
        <f>29*AC51</f>
        <v>435</v>
      </c>
      <c r="AL51" s="2"/>
      <c r="AM51" s="2"/>
      <c r="AN51" s="2"/>
      <c r="AR51" s="7"/>
      <c r="AT51" s="51"/>
      <c r="AV51" s="6"/>
    </row>
    <row r="52" spans="1:48" ht="12.75">
      <c r="A52" s="125"/>
      <c r="B52" s="126"/>
      <c r="C52" s="126"/>
      <c r="D52" s="126"/>
      <c r="E52" s="126"/>
      <c r="F52" s="125"/>
      <c r="G52" s="125"/>
      <c r="H52" s="2"/>
      <c r="I52" s="2"/>
      <c r="J52" s="2"/>
      <c r="K52" s="2"/>
      <c r="L52" s="2"/>
      <c r="M52" s="2"/>
      <c r="N52" s="2"/>
      <c r="O52" s="142" t="s">
        <v>36</v>
      </c>
      <c r="P52" s="142"/>
      <c r="Q52" s="142"/>
      <c r="R52" s="2"/>
      <c r="S52" s="2"/>
      <c r="T52" s="2"/>
      <c r="U52" s="2"/>
      <c r="V52" s="2"/>
      <c r="W52" s="2"/>
      <c r="X52" s="148"/>
      <c r="Y52" s="148"/>
      <c r="Z52" s="149"/>
      <c r="AA52" s="127"/>
      <c r="AB52" s="128" t="s">
        <v>42</v>
      </c>
      <c r="AC52" s="150">
        <v>5</v>
      </c>
      <c r="AD52" s="151"/>
      <c r="AE52" s="143"/>
      <c r="AF52" s="144"/>
      <c r="AG52" s="144"/>
      <c r="AH52" s="129"/>
      <c r="AI52" s="129"/>
      <c r="AJ52" s="129"/>
      <c r="AK52" s="130"/>
      <c r="AL52" s="2"/>
      <c r="AM52" s="2"/>
      <c r="AN52" s="2"/>
      <c r="AR52" s="7"/>
      <c r="AT52" s="51"/>
      <c r="AV52" s="6"/>
    </row>
    <row r="53" spans="1:42" ht="12.75">
      <c r="A53" s="125"/>
      <c r="B53" s="50"/>
      <c r="C53" s="50"/>
      <c r="D53" s="50"/>
      <c r="E53" s="50"/>
      <c r="F53" s="125"/>
      <c r="G53" s="125"/>
      <c r="H53" s="2"/>
      <c r="I53" s="2"/>
      <c r="J53" s="142"/>
      <c r="K53" s="142"/>
      <c r="L53" s="14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"/>
      <c r="AD53" s="2"/>
      <c r="AE53" s="2"/>
      <c r="AF53" s="2"/>
      <c r="AG53" s="1"/>
      <c r="AH53" s="1"/>
      <c r="AI53" s="2"/>
      <c r="AJ53" s="2"/>
      <c r="AK53" s="2"/>
      <c r="AL53" s="2"/>
      <c r="AM53" s="2"/>
      <c r="AN53" s="2"/>
      <c r="AO53" s="2"/>
      <c r="AP53" s="2"/>
    </row>
    <row r="54" spans="1:42" ht="12.75">
      <c r="A54" s="125"/>
      <c r="B54" s="50">
        <f>B53+1</f>
        <v>1</v>
      </c>
      <c r="C54" s="125"/>
      <c r="D54" s="125"/>
      <c r="E54" s="125"/>
      <c r="F54" s="125"/>
      <c r="G54" s="1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"/>
      <c r="AD54" s="2"/>
      <c r="AE54" s="2"/>
      <c r="AF54" s="2"/>
      <c r="AG54" s="1"/>
      <c r="AH54" s="1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125"/>
      <c r="B55" s="50">
        <f aca="true" t="shared" si="18" ref="B55:B65">B54+1</f>
        <v>2</v>
      </c>
      <c r="C55" s="125"/>
      <c r="D55" s="125"/>
      <c r="E55" s="125"/>
      <c r="F55" s="125"/>
      <c r="G55" s="1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"/>
      <c r="AD55" s="2"/>
      <c r="AE55" s="2"/>
      <c r="AF55" s="2"/>
      <c r="AG55" s="1"/>
      <c r="AH55" s="1"/>
      <c r="AI55" s="2"/>
      <c r="AJ55" s="2"/>
      <c r="AK55" s="2"/>
      <c r="AL55" s="2"/>
      <c r="AM55" s="2"/>
      <c r="AN55" s="2"/>
      <c r="AO55" s="2"/>
      <c r="AP55" s="2"/>
    </row>
    <row r="56" spans="1:42" ht="12.75">
      <c r="A56" s="125"/>
      <c r="B56" s="50">
        <f t="shared" si="18"/>
        <v>3</v>
      </c>
      <c r="C56" s="125"/>
      <c r="D56" s="125"/>
      <c r="E56" s="125"/>
      <c r="F56" s="125"/>
      <c r="G56" s="1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"/>
      <c r="AD56" s="2"/>
      <c r="AE56" s="2"/>
      <c r="AF56" s="2"/>
      <c r="AG56" s="1"/>
      <c r="AH56" s="1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125"/>
      <c r="B57" s="50">
        <f t="shared" si="18"/>
        <v>4</v>
      </c>
      <c r="C57" s="125"/>
      <c r="D57" s="125"/>
      <c r="E57" s="125"/>
      <c r="F57" s="125"/>
      <c r="G57" s="12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"/>
      <c r="AD57" s="2"/>
      <c r="AE57" s="2"/>
      <c r="AF57" s="2"/>
      <c r="AG57" s="1"/>
      <c r="AH57" s="1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125"/>
      <c r="B58" s="50">
        <f t="shared" si="18"/>
        <v>5</v>
      </c>
      <c r="C58" s="125"/>
      <c r="D58" s="125"/>
      <c r="E58" s="125"/>
      <c r="F58" s="125"/>
      <c r="G58" s="12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"/>
      <c r="AD58" s="2"/>
      <c r="AE58" s="2"/>
      <c r="AF58" s="2"/>
      <c r="AG58" s="1"/>
      <c r="AH58" s="1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125"/>
      <c r="B59" s="50">
        <f t="shared" si="18"/>
        <v>6</v>
      </c>
      <c r="C59" s="125"/>
      <c r="D59" s="125"/>
      <c r="E59" s="125"/>
      <c r="F59" s="125"/>
      <c r="G59" s="1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"/>
      <c r="AD59" s="2"/>
      <c r="AE59" s="2"/>
      <c r="AF59" s="2"/>
      <c r="AG59" s="1"/>
      <c r="AH59" s="1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125"/>
      <c r="B60" s="50">
        <f t="shared" si="18"/>
        <v>7</v>
      </c>
      <c r="C60" s="125"/>
      <c r="D60" s="125"/>
      <c r="E60" s="125"/>
      <c r="F60" s="125"/>
      <c r="G60" s="12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"/>
      <c r="AD60" s="2"/>
      <c r="AE60" s="2"/>
      <c r="AF60" s="2"/>
      <c r="AG60" s="1"/>
      <c r="AH60" s="1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2"/>
      <c r="B61" s="1">
        <f t="shared" si="18"/>
        <v>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"/>
      <c r="AD61" s="2"/>
      <c r="AE61" s="2"/>
      <c r="AF61" s="2"/>
      <c r="AG61" s="1"/>
      <c r="AH61" s="1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2"/>
      <c r="B62" s="1">
        <f t="shared" si="18"/>
        <v>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"/>
      <c r="AD62" s="2"/>
      <c r="AE62" s="2"/>
      <c r="AF62" s="2"/>
      <c r="AG62" s="1"/>
      <c r="AH62" s="1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2"/>
      <c r="B63" s="1">
        <f t="shared" si="18"/>
        <v>10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31"/>
      <c r="S63" s="132"/>
      <c r="T63" s="2"/>
      <c r="U63" s="2"/>
      <c r="V63" s="2"/>
      <c r="W63" s="2"/>
      <c r="X63" s="2"/>
      <c r="Y63" s="2"/>
      <c r="Z63" s="2"/>
      <c r="AA63" s="2"/>
      <c r="AB63" s="2"/>
      <c r="AC63" s="1"/>
      <c r="AD63" s="2"/>
      <c r="AE63" s="2"/>
      <c r="AF63" s="2"/>
      <c r="AG63" s="1"/>
      <c r="AH63" s="1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2"/>
      <c r="B64" s="1">
        <f t="shared" si="18"/>
        <v>11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31"/>
      <c r="S64" s="132"/>
      <c r="T64" s="2"/>
      <c r="U64" s="2"/>
      <c r="V64" s="2"/>
      <c r="W64" s="2"/>
      <c r="X64" s="2"/>
      <c r="Y64" s="2"/>
      <c r="Z64" s="2"/>
      <c r="AA64" s="2"/>
      <c r="AB64" s="2"/>
      <c r="AC64" s="1"/>
      <c r="AD64" s="2"/>
      <c r="AE64" s="2"/>
      <c r="AF64" s="2"/>
      <c r="AG64" s="1"/>
      <c r="AH64" s="1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2"/>
      <c r="B65" s="1">
        <f t="shared" si="18"/>
        <v>12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31"/>
      <c r="S65" s="132"/>
      <c r="T65" s="2"/>
      <c r="U65" s="2"/>
      <c r="V65" s="2"/>
      <c r="W65" s="2"/>
      <c r="X65" s="2"/>
      <c r="Y65" s="2"/>
      <c r="Z65" s="2"/>
      <c r="AA65" s="2"/>
      <c r="AB65" s="2"/>
      <c r="AC65" s="1"/>
      <c r="AD65" s="2"/>
      <c r="AE65" s="2"/>
      <c r="AF65" s="2"/>
      <c r="AG65" s="1"/>
      <c r="AH65" s="1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31"/>
      <c r="S66" s="132"/>
      <c r="T66" s="2"/>
      <c r="U66" s="2"/>
      <c r="V66" s="2"/>
      <c r="W66" s="2"/>
      <c r="X66" s="2"/>
      <c r="Y66" s="2"/>
      <c r="Z66" s="2"/>
      <c r="AA66" s="2"/>
      <c r="AB66" s="2"/>
      <c r="AC66" s="1"/>
      <c r="AD66" s="2"/>
      <c r="AE66" s="2"/>
      <c r="AF66" s="2"/>
      <c r="AG66" s="1"/>
      <c r="AH66" s="1"/>
      <c r="AI66" s="2"/>
      <c r="AJ66" s="2"/>
      <c r="AK66" s="2"/>
      <c r="AL66" s="2"/>
      <c r="AM66" s="2"/>
      <c r="AN66" s="2"/>
      <c r="AO66" s="2"/>
      <c r="AP66" s="2"/>
    </row>
  </sheetData>
  <sheetProtection password="C52A" sheet="1" objects="1" scenarios="1"/>
  <mergeCells count="47">
    <mergeCell ref="AI51:AJ51"/>
    <mergeCell ref="N50:R50"/>
    <mergeCell ref="AG3:AH3"/>
    <mergeCell ref="AL3:AM3"/>
    <mergeCell ref="V3:V4"/>
    <mergeCell ref="S3:S4"/>
    <mergeCell ref="AG2:AH2"/>
    <mergeCell ref="AL2:AM2"/>
    <mergeCell ref="W3:W4"/>
    <mergeCell ref="X3:X4"/>
    <mergeCell ref="Y3:Y4"/>
    <mergeCell ref="I35:K36"/>
    <mergeCell ref="I17:K18"/>
    <mergeCell ref="L13:L14"/>
    <mergeCell ref="L17:L18"/>
    <mergeCell ref="L35:L36"/>
    <mergeCell ref="J31:J33"/>
    <mergeCell ref="I13:K14"/>
    <mergeCell ref="G17:G18"/>
    <mergeCell ref="C9:C10"/>
    <mergeCell ref="C35:C36"/>
    <mergeCell ref="G35:G36"/>
    <mergeCell ref="C17:C18"/>
    <mergeCell ref="G31:G32"/>
    <mergeCell ref="C26:G28"/>
    <mergeCell ref="C31:C32"/>
    <mergeCell ref="J4:J7"/>
    <mergeCell ref="C4:G6"/>
    <mergeCell ref="T3:T4"/>
    <mergeCell ref="J9:J11"/>
    <mergeCell ref="Q3:Q4"/>
    <mergeCell ref="R3:R4"/>
    <mergeCell ref="N11:N19"/>
    <mergeCell ref="C13:C14"/>
    <mergeCell ref="G9:G10"/>
    <mergeCell ref="G13:G14"/>
    <mergeCell ref="C39:C40"/>
    <mergeCell ref="G39:G40"/>
    <mergeCell ref="I39:K40"/>
    <mergeCell ref="N49:R49"/>
    <mergeCell ref="L39:L40"/>
    <mergeCell ref="J53:L53"/>
    <mergeCell ref="AE52:AG52"/>
    <mergeCell ref="AC51:AD51"/>
    <mergeCell ref="O52:Q52"/>
    <mergeCell ref="X51:Z52"/>
    <mergeCell ref="AC52:AD52"/>
  </mergeCells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2017-07-18T22:56:15Z</cp:lastPrinted>
  <dcterms:created xsi:type="dcterms:W3CDTF">2017-05-12T14:49:53Z</dcterms:created>
  <dcterms:modified xsi:type="dcterms:W3CDTF">2017-07-19T22:58:57Z</dcterms:modified>
  <cp:category/>
  <cp:version/>
  <cp:contentType/>
  <cp:contentStatus/>
</cp:coreProperties>
</file>