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3155" activeTab="0"/>
  </bookViews>
  <sheets>
    <sheet name="Plant Financial Performanc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<sst xmlns="http://schemas.openxmlformats.org/spreadsheetml/2006/main" count="46" uniqueCount="36">
  <si>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IRR</t>
  </si>
  <si>
    <t>MILL COST</t>
  </si>
  <si>
    <t>SELLING EXPENSE</t>
  </si>
  <si>
    <t>ADMINISTRATIVE</t>
  </si>
  <si>
    <t>COST OF SALES</t>
  </si>
  <si>
    <t>SALES</t>
  </si>
  <si>
    <t>INVENTORIES</t>
  </si>
  <si>
    <t>ACCOUNTS RECEIVABLE</t>
  </si>
  <si>
    <t>CASH</t>
  </si>
  <si>
    <t>WORKING CAPITAL</t>
  </si>
  <si>
    <t>PERMANENT INVESTMENT</t>
  </si>
  <si>
    <t>EARNINGS</t>
  </si>
  <si>
    <t>TOTAL INVESTMENT</t>
  </si>
  <si>
    <t>EARNINGS AS A % OF SALES</t>
  </si>
  <si>
    <t>TURNOVER</t>
  </si>
  <si>
    <t>Divided By</t>
  </si>
  <si>
    <t>Multiplied By</t>
  </si>
  <si>
    <t>Minus</t>
  </si>
  <si>
    <t>Plus</t>
  </si>
  <si>
    <t xml:space="preserve"> </t>
  </si>
  <si>
    <t>NET EARNINGS</t>
  </si>
  <si>
    <t>EBITDA</t>
  </si>
  <si>
    <t>DEP, INT &amp; AMORT.</t>
  </si>
  <si>
    <t>NPV</t>
  </si>
  <si>
    <t>IRR, %</t>
  </si>
  <si>
    <t>less TAXES</t>
  </si>
  <si>
    <t>Number of Analysis Periods</t>
  </si>
  <si>
    <t>Discount Rate, %</t>
  </si>
  <si>
    <t>Period</t>
  </si>
  <si>
    <t>Cash Flows</t>
  </si>
  <si>
    <t>DCFs</t>
  </si>
  <si>
    <r>
      <t xml:space="preserve">Red = Inputs       </t>
    </r>
    <r>
      <rPr>
        <sz val="14"/>
        <color indexed="9"/>
        <rFont val="Arial"/>
        <family val="2"/>
      </rPr>
      <t>White = Results</t>
    </r>
  </si>
  <si>
    <t>NPV (Excel as a check)</t>
  </si>
  <si>
    <t>B/C</t>
  </si>
  <si>
    <t>NROI</t>
  </si>
  <si>
    <t>ROI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</si>
</sst>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&quot; %&quot;"/>
    <numFmt numFmtId="166" formatCode="0.00&quot;%&quot;"/>
    <numFmt numFmtId="167" formatCode="#,##0.000000000"/>
    <numFmt numFmtId="168" formatCode="#,##0.0000000000"/>
    <numFmt numFmtId="169" formatCode="#,##0.00000000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0.0&quot;%&quot;"/>
    <numFmt numFmtId="177" formatCode="0.0"/>
    <numFmt numFmtId="178" formatCode="0&quot; Periods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 &quot;#,##0"/>
    <numFmt numFmtId="186" formatCode="0&quot;%&quot;"/>
    <numFmt numFmtId="187" formatCode="0.000000000000"/>
    <numFmt numFmtId="188" formatCode="0.00000000000"/>
    <numFmt numFmtId="189" formatCode="0.0000000000"/>
    <numFmt numFmtId="190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sz val="4.75"/>
      <name val="Arial"/>
      <family val="0"/>
    </font>
    <font>
      <sz val="4.5"/>
      <name val="Arial"/>
      <family val="0"/>
    </font>
    <font>
      <sz val="8"/>
      <name val="Arial"/>
      <family val="2"/>
    </font>
    <font>
      <b/>
      <sz val="14"/>
      <color indexed="60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27"/>
      <name val="Arial"/>
      <family val="2"/>
    </font>
    <font>
      <b/>
      <sz val="14"/>
      <color indexed="14"/>
      <name val="Arial"/>
      <family val="2"/>
    </font>
    <font>
      <b/>
      <sz val="14"/>
      <color indexed="41"/>
      <name val="Arial"/>
      <family val="2"/>
    </font>
    <font>
      <b/>
      <sz val="14"/>
      <color indexed="22"/>
      <name val="Arial"/>
      <family val="2"/>
    </font>
    <font>
      <b/>
      <sz val="12"/>
      <color indexed="8"/>
      <name val="Arial"/>
      <family val="2"/>
    </font>
    <font>
      <b/>
      <sz val="14"/>
      <color indexed="5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42"/>
      <name val="Arial"/>
      <family val="2"/>
    </font>
    <font>
      <b/>
      <sz val="12"/>
      <color indexed="42"/>
      <name val="Arial"/>
      <family val="2"/>
    </font>
    <font>
      <b/>
      <sz val="12"/>
      <color indexed="9"/>
      <name val="Arial"/>
      <family val="2"/>
    </font>
    <font>
      <sz val="10"/>
      <color indexed="41"/>
      <name val="Arial"/>
      <family val="2"/>
    </font>
    <font>
      <sz val="14"/>
      <color indexed="9"/>
      <name val="Arial"/>
      <family val="2"/>
    </font>
    <font>
      <sz val="10"/>
      <color indexed="13"/>
      <name val="Arial"/>
      <family val="2"/>
    </font>
    <font>
      <b/>
      <i/>
      <u val="single"/>
      <sz val="10"/>
      <color indexed="13"/>
      <name val="Arial"/>
      <family val="2"/>
    </font>
    <font>
      <b/>
      <sz val="16"/>
      <color indexed="31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b/>
      <sz val="18"/>
      <color indexed="20"/>
      <name val="Arial"/>
      <family val="2"/>
    </font>
    <font>
      <b/>
      <sz val="9.25"/>
      <color indexed="15"/>
      <name val="Arial"/>
      <family val="2"/>
    </font>
    <font>
      <b/>
      <sz val="10"/>
      <color indexed="14"/>
      <name val="Arial"/>
      <family val="2"/>
    </font>
    <font>
      <sz val="11"/>
      <color indexed="2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medium">
        <color indexed="17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 style="thick">
        <color indexed="41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 diagonalUp="1">
      <left style="thick">
        <color indexed="11"/>
      </left>
      <right>
        <color indexed="63"/>
      </right>
      <top>
        <color indexed="63"/>
      </top>
      <bottom>
        <color indexed="63"/>
      </bottom>
      <diagonal style="thick">
        <color indexed="11"/>
      </diagonal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4"/>
      </diagonal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 diagonalUp="1">
      <left style="thick">
        <color indexed="14"/>
      </left>
      <right>
        <color indexed="63"/>
      </right>
      <top>
        <color indexed="63"/>
      </top>
      <bottom style="thick">
        <color indexed="14"/>
      </bottom>
      <diagonal style="thick">
        <color indexed="14"/>
      </diagonal>
    </border>
    <border diagonalDown="1">
      <left style="thick">
        <color indexed="14"/>
      </left>
      <right>
        <color indexed="63"/>
      </right>
      <top style="thick">
        <color indexed="14"/>
      </top>
      <bottom>
        <color indexed="63"/>
      </bottom>
      <diagonal style="thick">
        <color indexed="14"/>
      </diagonal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1"/>
      </diagonal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 diagonalDown="1">
      <left style="thick">
        <color indexed="52"/>
      </left>
      <right>
        <color indexed="63"/>
      </right>
      <top>
        <color indexed="63"/>
      </top>
      <bottom>
        <color indexed="63"/>
      </bottom>
      <diagonal style="thick">
        <color indexed="17"/>
      </diagonal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 diagonalUp="1">
      <left style="thick">
        <color indexed="52"/>
      </left>
      <right>
        <color indexed="63"/>
      </right>
      <top>
        <color indexed="63"/>
      </top>
      <bottom>
        <color indexed="63"/>
      </bottom>
      <diagonal style="thick">
        <color indexed="17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23"/>
      </bottom>
      <diagonal style="thick">
        <color indexed="23"/>
      </diagonal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 diagonalDown="1">
      <left>
        <color indexed="63"/>
      </left>
      <right>
        <color indexed="63"/>
      </right>
      <top style="thick">
        <color indexed="23"/>
      </top>
      <bottom>
        <color indexed="63"/>
      </bottom>
      <diagonal style="thick">
        <color indexed="23"/>
      </diagonal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 diagonalUp="1">
      <left style="thick">
        <color indexed="2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 diagonalDown="1">
      <left style="thick">
        <color indexed="2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24"/>
      </left>
      <right>
        <color indexed="63"/>
      </right>
      <top style="thick">
        <color indexed="24"/>
      </top>
      <bottom style="thick">
        <color indexed="2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52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52"/>
      </diagonal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41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 style="thick">
        <color indexed="41"/>
      </right>
      <top style="thick">
        <color indexed="41"/>
      </top>
      <bottom>
        <color indexed="63"/>
      </bottom>
    </border>
    <border>
      <left style="thick">
        <color indexed="41"/>
      </left>
      <right>
        <color indexed="63"/>
      </right>
      <top>
        <color indexed="63"/>
      </top>
      <bottom style="thick">
        <color indexed="4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26" fillId="2" borderId="4" xfId="0" applyFont="1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 vertical="top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8" fillId="2" borderId="0" xfId="0" applyNumberFormat="1" applyFont="1" applyFill="1" applyBorder="1" applyAlignment="1" applyProtection="1">
      <alignment horizontal="centerContinuous" vertical="center"/>
      <protection hidden="1"/>
    </xf>
    <xf numFmtId="1" fontId="9" fillId="2" borderId="0" xfId="0" applyNumberFormat="1" applyFont="1" applyFill="1" applyBorder="1" applyAlignment="1" applyProtection="1">
      <alignment horizontal="centerContinuous" vertic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" fontId="8" fillId="2" borderId="13" xfId="0" applyNumberFormat="1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Continuous" vertical="center"/>
      <protection hidden="1"/>
    </xf>
    <xf numFmtId="0" fontId="0" fillId="2" borderId="0" xfId="0" applyFill="1" applyAlignment="1" applyProtection="1">
      <alignment horizontal="centerContinuous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justify"/>
      <protection hidden="1"/>
    </xf>
    <xf numFmtId="0" fontId="0" fillId="2" borderId="7" xfId="0" applyFill="1" applyBorder="1" applyAlignment="1" applyProtection="1">
      <alignment horizontal="center" vertical="justify"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5" xfId="0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2" borderId="34" xfId="0" applyFill="1" applyBorder="1" applyAlignment="1" applyProtection="1">
      <alignment/>
      <protection hidden="1"/>
    </xf>
    <xf numFmtId="0" fontId="0" fillId="2" borderId="35" xfId="0" applyFill="1" applyBorder="1" applyAlignment="1" applyProtection="1">
      <alignment/>
      <protection hidden="1"/>
    </xf>
    <xf numFmtId="0" fontId="0" fillId="2" borderId="36" xfId="0" applyFill="1" applyBorder="1" applyAlignment="1" applyProtection="1">
      <alignment/>
      <protection hidden="1"/>
    </xf>
    <xf numFmtId="0" fontId="0" fillId="2" borderId="37" xfId="0" applyFill="1" applyBorder="1" applyAlignment="1" applyProtection="1">
      <alignment/>
      <protection hidden="1"/>
    </xf>
    <xf numFmtId="0" fontId="0" fillId="2" borderId="38" xfId="0" applyFill="1" applyBorder="1" applyAlignment="1" applyProtection="1">
      <alignment/>
      <protection hidden="1"/>
    </xf>
    <xf numFmtId="0" fontId="0" fillId="2" borderId="39" xfId="0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/>
      <protection hidden="1"/>
    </xf>
    <xf numFmtId="0" fontId="0" fillId="2" borderId="41" xfId="0" applyFill="1" applyBorder="1" applyAlignment="1" applyProtection="1">
      <alignment/>
      <protection hidden="1"/>
    </xf>
    <xf numFmtId="0" fontId="0" fillId="2" borderId="42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29" fillId="2" borderId="0" xfId="0" applyFont="1" applyFill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" fontId="29" fillId="2" borderId="0" xfId="0" applyNumberFormat="1" applyFont="1" applyFill="1" applyAlignment="1" applyProtection="1">
      <alignment horizontal="center"/>
      <protection hidden="1"/>
    </xf>
    <xf numFmtId="9" fontId="30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/>
    </xf>
    <xf numFmtId="0" fontId="0" fillId="2" borderId="43" xfId="0" applyFill="1" applyBorder="1" applyAlignment="1" applyProtection="1">
      <alignment/>
      <protection hidden="1"/>
    </xf>
    <xf numFmtId="0" fontId="0" fillId="2" borderId="44" xfId="0" applyFill="1" applyBorder="1" applyAlignment="1" applyProtection="1">
      <alignment/>
      <protection hidden="1"/>
    </xf>
    <xf numFmtId="0" fontId="0" fillId="2" borderId="45" xfId="0" applyFill="1" applyBorder="1" applyAlignment="1" applyProtection="1">
      <alignment/>
      <protection hidden="1"/>
    </xf>
    <xf numFmtId="0" fontId="0" fillId="2" borderId="46" xfId="0" applyFill="1" applyBorder="1" applyAlignment="1" applyProtection="1">
      <alignment/>
      <protection hidden="1"/>
    </xf>
    <xf numFmtId="0" fontId="0" fillId="2" borderId="47" xfId="0" applyFill="1" applyBorder="1" applyAlignment="1" applyProtection="1">
      <alignment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2" fontId="31" fillId="2" borderId="44" xfId="0" applyNumberFormat="1" applyFont="1" applyFill="1" applyBorder="1" applyAlignment="1" applyProtection="1">
      <alignment/>
      <protection hidden="1"/>
    </xf>
    <xf numFmtId="0" fontId="0" fillId="2" borderId="48" xfId="0" applyFill="1" applyBorder="1" applyAlignment="1" applyProtection="1">
      <alignment/>
      <protection hidden="1"/>
    </xf>
    <xf numFmtId="0" fontId="0" fillId="2" borderId="49" xfId="0" applyFill="1" applyBorder="1" applyAlignment="1" applyProtection="1">
      <alignment/>
      <protection hidden="1"/>
    </xf>
    <xf numFmtId="0" fontId="1" fillId="4" borderId="43" xfId="0" applyFont="1" applyFill="1" applyBorder="1" applyAlignment="1" applyProtection="1">
      <alignment horizontal="center" vertical="center" wrapText="1"/>
      <protection hidden="1"/>
    </xf>
    <xf numFmtId="0" fontId="1" fillId="4" borderId="50" xfId="0" applyFont="1" applyFill="1" applyBorder="1" applyAlignment="1" applyProtection="1">
      <alignment horizontal="center" vertical="center" wrapText="1"/>
      <protection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185" fontId="19" fillId="2" borderId="0" xfId="0" applyNumberFormat="1" applyFont="1" applyFill="1" applyBorder="1" applyAlignment="1" applyProtection="1">
      <alignment horizontal="left" vertical="center"/>
      <protection hidden="1"/>
    </xf>
    <xf numFmtId="0" fontId="4" fillId="5" borderId="51" xfId="0" applyFont="1" applyFill="1" applyBorder="1" applyAlignment="1" applyProtection="1">
      <alignment horizontal="center" vertical="justify"/>
      <protection hidden="1"/>
    </xf>
    <xf numFmtId="0" fontId="4" fillId="5" borderId="52" xfId="0" applyFont="1" applyFill="1" applyBorder="1" applyAlignment="1" applyProtection="1">
      <alignment horizontal="center" vertical="justify"/>
      <protection hidden="1"/>
    </xf>
    <xf numFmtId="0" fontId="4" fillId="5" borderId="25" xfId="0" applyFont="1" applyFill="1" applyBorder="1" applyAlignment="1" applyProtection="1">
      <alignment horizontal="center" vertical="justify"/>
      <protection hidden="1"/>
    </xf>
    <xf numFmtId="0" fontId="4" fillId="5" borderId="53" xfId="0" applyFont="1" applyFill="1" applyBorder="1" applyAlignment="1" applyProtection="1">
      <alignment horizontal="center" vertical="justify"/>
      <protection hidden="1"/>
    </xf>
    <xf numFmtId="0" fontId="4" fillId="5" borderId="46" xfId="0" applyFont="1" applyFill="1" applyBorder="1" applyAlignment="1" applyProtection="1">
      <alignment horizontal="center" vertical="justify"/>
      <protection hidden="1"/>
    </xf>
    <xf numFmtId="0" fontId="4" fillId="5" borderId="30" xfId="0" applyFont="1" applyFill="1" applyBorder="1" applyAlignment="1" applyProtection="1">
      <alignment horizontal="center" vertical="justify"/>
      <protection hidden="1"/>
    </xf>
    <xf numFmtId="0" fontId="1" fillId="4" borderId="43" xfId="0" applyFont="1" applyFill="1" applyBorder="1" applyAlignment="1" applyProtection="1">
      <alignment horizontal="center" vertical="center"/>
      <protection hidden="1"/>
    </xf>
    <xf numFmtId="0" fontId="1" fillId="4" borderId="50" xfId="0" applyFont="1" applyFill="1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horizontal="center" vertical="center"/>
      <protection hidden="1"/>
    </xf>
    <xf numFmtId="0" fontId="1" fillId="4" borderId="3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85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textRotation="134"/>
      <protection hidden="1"/>
    </xf>
    <xf numFmtId="0" fontId="25" fillId="6" borderId="54" xfId="0" applyFont="1" applyFill="1" applyBorder="1" applyAlignment="1" applyProtection="1">
      <alignment horizontal="center" vertical="center"/>
      <protection hidden="1"/>
    </xf>
    <xf numFmtId="0" fontId="25" fillId="6" borderId="55" xfId="0" applyFont="1" applyFill="1" applyBorder="1" applyAlignment="1" applyProtection="1">
      <alignment horizontal="center" vertical="center"/>
      <protection hidden="1"/>
    </xf>
    <xf numFmtId="0" fontId="25" fillId="6" borderId="56" xfId="0" applyFont="1" applyFill="1" applyBorder="1" applyAlignment="1" applyProtection="1">
      <alignment horizontal="center" vertical="center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177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7" borderId="57" xfId="0" applyFont="1" applyFill="1" applyBorder="1" applyAlignment="1" applyProtection="1">
      <alignment horizontal="center" vertical="center"/>
      <protection hidden="1"/>
    </xf>
    <xf numFmtId="0" fontId="14" fillId="7" borderId="58" xfId="0" applyFont="1" applyFill="1" applyBorder="1" applyAlignment="1" applyProtection="1">
      <alignment horizontal="center" vertical="center"/>
      <protection hidden="1"/>
    </xf>
    <xf numFmtId="0" fontId="14" fillId="7" borderId="59" xfId="0" applyFont="1" applyFill="1" applyBorder="1" applyAlignment="1" applyProtection="1">
      <alignment horizontal="center" vertical="center"/>
      <protection hidden="1"/>
    </xf>
    <xf numFmtId="0" fontId="14" fillId="7" borderId="19" xfId="0" applyFont="1" applyFill="1" applyBorder="1" applyAlignment="1" applyProtection="1">
      <alignment horizontal="center" vertical="center"/>
      <protection hidden="1"/>
    </xf>
    <xf numFmtId="0" fontId="14" fillId="7" borderId="60" xfId="0" applyFont="1" applyFill="1" applyBorder="1" applyAlignment="1" applyProtection="1">
      <alignment horizontal="center" vertical="center"/>
      <protection hidden="1"/>
    </xf>
    <xf numFmtId="0" fontId="14" fillId="7" borderId="17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textRotation="135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77" fontId="34" fillId="2" borderId="0" xfId="0" applyNumberFormat="1" applyFont="1" applyFill="1" applyBorder="1" applyAlignment="1" applyProtection="1">
      <alignment horizontal="right" vertical="center"/>
      <protection hidden="1"/>
    </xf>
    <xf numFmtId="0" fontId="34" fillId="8" borderId="61" xfId="0" applyFont="1" applyFill="1" applyBorder="1" applyAlignment="1" applyProtection="1">
      <alignment horizontal="center" vertical="center" wrapText="1"/>
      <protection hidden="1"/>
    </xf>
    <xf numFmtId="0" fontId="34" fillId="8" borderId="62" xfId="0" applyFont="1" applyFill="1" applyBorder="1" applyAlignment="1" applyProtection="1">
      <alignment horizontal="center" vertical="center" wrapText="1"/>
      <protection hidden="1"/>
    </xf>
    <xf numFmtId="0" fontId="34" fillId="8" borderId="63" xfId="0" applyFont="1" applyFill="1" applyBorder="1" applyAlignment="1" applyProtection="1">
      <alignment horizontal="center" vertical="center" wrapText="1"/>
      <protection hidden="1"/>
    </xf>
    <xf numFmtId="0" fontId="34" fillId="8" borderId="64" xfId="0" applyFont="1" applyFill="1" applyBorder="1" applyAlignment="1" applyProtection="1">
      <alignment horizontal="center" vertical="center" wrapText="1"/>
      <protection hidden="1"/>
    </xf>
    <xf numFmtId="0" fontId="34" fillId="8" borderId="65" xfId="0" applyFont="1" applyFill="1" applyBorder="1" applyAlignment="1" applyProtection="1">
      <alignment horizontal="center" vertical="center" wrapText="1"/>
      <protection hidden="1"/>
    </xf>
    <xf numFmtId="0" fontId="34" fillId="8" borderId="66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textRotation="134"/>
      <protection hidden="1"/>
    </xf>
    <xf numFmtId="177" fontId="32" fillId="2" borderId="0" xfId="0" applyNumberFormat="1" applyFont="1" applyFill="1" applyBorder="1" applyAlignment="1" applyProtection="1">
      <alignment horizontal="center"/>
      <protection locked="0"/>
    </xf>
    <xf numFmtId="177" fontId="33" fillId="2" borderId="0" xfId="0" applyNumberFormat="1" applyFont="1" applyFill="1" applyAlignment="1" applyProtection="1">
      <alignment horizontal="center"/>
      <protection locked="0"/>
    </xf>
    <xf numFmtId="177" fontId="33" fillId="2" borderId="0" xfId="0" applyNumberFormat="1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185" fontId="17" fillId="2" borderId="0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center" vertical="center" textRotation="136"/>
      <protection hidden="1"/>
    </xf>
    <xf numFmtId="0" fontId="1" fillId="9" borderId="67" xfId="0" applyFont="1" applyFill="1" applyBorder="1" applyAlignment="1" applyProtection="1">
      <alignment horizontal="center" vertical="center"/>
      <protection hidden="1"/>
    </xf>
    <xf numFmtId="0" fontId="1" fillId="9" borderId="13" xfId="0" applyFont="1" applyFill="1" applyBorder="1" applyAlignment="1" applyProtection="1">
      <alignment horizontal="center" vertical="center"/>
      <protection hidden="1"/>
    </xf>
    <xf numFmtId="0" fontId="1" fillId="9" borderId="68" xfId="0" applyFont="1" applyFill="1" applyBorder="1" applyAlignment="1" applyProtection="1">
      <alignment horizontal="center" vertical="center"/>
      <protection hidden="1"/>
    </xf>
    <xf numFmtId="0" fontId="1" fillId="9" borderId="9" xfId="0" applyFont="1" applyFill="1" applyBorder="1" applyAlignment="1" applyProtection="1">
      <alignment horizontal="center" vertical="center"/>
      <protection hidden="1"/>
    </xf>
    <xf numFmtId="0" fontId="3" fillId="10" borderId="69" xfId="0" applyFont="1" applyFill="1" applyBorder="1" applyAlignment="1" applyProtection="1">
      <alignment horizontal="center" vertical="center" wrapText="1"/>
      <protection hidden="1"/>
    </xf>
    <xf numFmtId="0" fontId="3" fillId="10" borderId="70" xfId="0" applyFont="1" applyFill="1" applyBorder="1" applyAlignment="1" applyProtection="1">
      <alignment horizontal="center" vertical="center" wrapText="1"/>
      <protection hidden="1"/>
    </xf>
    <xf numFmtId="0" fontId="3" fillId="10" borderId="71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22" fillId="11" borderId="72" xfId="0" applyFont="1" applyFill="1" applyBorder="1" applyAlignment="1" applyProtection="1">
      <alignment horizontal="center" vertical="center"/>
      <protection hidden="1"/>
    </xf>
    <xf numFmtId="0" fontId="22" fillId="11" borderId="6" xfId="0" applyFont="1" applyFill="1" applyBorder="1" applyAlignment="1" applyProtection="1">
      <alignment horizontal="center" vertical="center"/>
      <protection hidden="1"/>
    </xf>
    <xf numFmtId="0" fontId="22" fillId="11" borderId="73" xfId="0" applyFont="1" applyFill="1" applyBorder="1" applyAlignment="1" applyProtection="1">
      <alignment horizontal="center" vertical="center"/>
      <protection hidden="1"/>
    </xf>
    <xf numFmtId="0" fontId="22" fillId="11" borderId="5" xfId="0" applyFont="1" applyFill="1" applyBorder="1" applyAlignment="1" applyProtection="1">
      <alignment horizontal="center" vertical="center"/>
      <protection hidden="1"/>
    </xf>
    <xf numFmtId="185" fontId="32" fillId="2" borderId="0" xfId="0" applyNumberFormat="1" applyFont="1" applyFill="1" applyBorder="1" applyAlignment="1" applyProtection="1">
      <alignment horizontal="left" vertical="center"/>
      <protection locked="0"/>
    </xf>
    <xf numFmtId="0" fontId="23" fillId="11" borderId="72" xfId="0" applyFont="1" applyFill="1" applyBorder="1" applyAlignment="1" applyProtection="1">
      <alignment horizontal="center" vertical="center"/>
      <protection hidden="1"/>
    </xf>
    <xf numFmtId="0" fontId="23" fillId="11" borderId="6" xfId="0" applyFont="1" applyFill="1" applyBorder="1" applyAlignment="1" applyProtection="1">
      <alignment horizontal="center" vertical="center"/>
      <protection hidden="1"/>
    </xf>
    <xf numFmtId="0" fontId="23" fillId="11" borderId="73" xfId="0" applyFont="1" applyFill="1" applyBorder="1" applyAlignment="1" applyProtection="1">
      <alignment horizontal="center" vertical="center"/>
      <protection hidden="1"/>
    </xf>
    <xf numFmtId="0" fontId="23" fillId="11" borderId="5" xfId="0" applyFont="1" applyFill="1" applyBorder="1" applyAlignment="1" applyProtection="1">
      <alignment horizontal="center" vertical="center"/>
      <protection hidden="1"/>
    </xf>
    <xf numFmtId="0" fontId="14" fillId="12" borderId="57" xfId="0" applyFont="1" applyFill="1" applyBorder="1" applyAlignment="1" applyProtection="1">
      <alignment horizontal="center" vertical="center" wrapText="1"/>
      <protection hidden="1"/>
    </xf>
    <xf numFmtId="0" fontId="14" fillId="12" borderId="58" xfId="0" applyFont="1" applyFill="1" applyBorder="1" applyAlignment="1" applyProtection="1">
      <alignment horizontal="center" vertical="center" wrapText="1"/>
      <protection hidden="1"/>
    </xf>
    <xf numFmtId="0" fontId="14" fillId="12" borderId="59" xfId="0" applyFont="1" applyFill="1" applyBorder="1" applyAlignment="1" applyProtection="1">
      <alignment horizontal="center" vertical="center" wrapText="1"/>
      <protection hidden="1"/>
    </xf>
    <xf numFmtId="0" fontId="14" fillId="12" borderId="19" xfId="0" applyFont="1" applyFill="1" applyBorder="1" applyAlignment="1" applyProtection="1">
      <alignment horizontal="center" vertical="center" wrapText="1"/>
      <protection hidden="1"/>
    </xf>
    <xf numFmtId="0" fontId="14" fillId="12" borderId="60" xfId="0" applyFont="1" applyFill="1" applyBorder="1" applyAlignment="1" applyProtection="1">
      <alignment horizontal="center" vertical="center" wrapText="1"/>
      <protection hidden="1"/>
    </xf>
    <xf numFmtId="0" fontId="14" fillId="12" borderId="17" xfId="0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1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/>
      <protection locked="0"/>
    </xf>
    <xf numFmtId="185" fontId="17" fillId="2" borderId="0" xfId="0" applyNumberFormat="1" applyFont="1" applyFill="1" applyBorder="1" applyAlignment="1" applyProtection="1">
      <alignment horizontal="right" vertical="center"/>
      <protection hidden="1"/>
    </xf>
    <xf numFmtId="175" fontId="31" fillId="2" borderId="74" xfId="0" applyNumberFormat="1" applyFont="1" applyFill="1" applyBorder="1" applyAlignment="1" applyProtection="1">
      <alignment horizontal="left" vertical="center"/>
      <protection hidden="1"/>
    </xf>
    <xf numFmtId="0" fontId="20" fillId="9" borderId="67" xfId="0" applyFont="1" applyFill="1" applyBorder="1" applyAlignment="1" applyProtection="1">
      <alignment horizontal="center" vertical="center"/>
      <protection hidden="1"/>
    </xf>
    <xf numFmtId="0" fontId="20" fillId="9" borderId="13" xfId="0" applyFont="1" applyFill="1" applyBorder="1" applyAlignment="1" applyProtection="1">
      <alignment horizontal="center" vertical="center"/>
      <protection hidden="1"/>
    </xf>
    <xf numFmtId="0" fontId="20" fillId="9" borderId="68" xfId="0" applyFont="1" applyFill="1" applyBorder="1" applyAlignment="1" applyProtection="1">
      <alignment horizontal="center" vertical="center"/>
      <protection hidden="1"/>
    </xf>
    <xf numFmtId="0" fontId="20" fillId="9" borderId="9" xfId="0" applyFont="1" applyFill="1" applyBorder="1" applyAlignment="1" applyProtection="1">
      <alignment horizontal="center" vertical="center"/>
      <protection hidden="1"/>
    </xf>
    <xf numFmtId="185" fontId="13" fillId="2" borderId="0" xfId="0" applyNumberFormat="1" applyFont="1" applyFill="1" applyBorder="1" applyAlignment="1" applyProtection="1">
      <alignment horizontal="right" vertical="center"/>
      <protection hidden="1"/>
    </xf>
    <xf numFmtId="0" fontId="10" fillId="11" borderId="72" xfId="0" applyFont="1" applyFill="1" applyBorder="1" applyAlignment="1" applyProtection="1">
      <alignment horizontal="center" vertical="center"/>
      <protection hidden="1"/>
    </xf>
    <xf numFmtId="0" fontId="10" fillId="11" borderId="6" xfId="0" applyFont="1" applyFill="1" applyBorder="1" applyAlignment="1" applyProtection="1">
      <alignment horizontal="center" vertical="center"/>
      <protection hidden="1"/>
    </xf>
    <xf numFmtId="0" fontId="10" fillId="11" borderId="73" xfId="0" applyFont="1" applyFill="1" applyBorder="1" applyAlignment="1" applyProtection="1">
      <alignment horizontal="center" vertical="center"/>
      <protection hidden="1"/>
    </xf>
    <xf numFmtId="0" fontId="10" fillId="11" borderId="5" xfId="0" applyFont="1" applyFill="1" applyBorder="1" applyAlignment="1" applyProtection="1">
      <alignment horizontal="center" vertical="center"/>
      <protection hidden="1"/>
    </xf>
    <xf numFmtId="0" fontId="36" fillId="5" borderId="51" xfId="0" applyFont="1" applyFill="1" applyBorder="1" applyAlignment="1" applyProtection="1">
      <alignment horizontal="center" vertical="center"/>
      <protection hidden="1"/>
    </xf>
    <xf numFmtId="0" fontId="36" fillId="0" borderId="25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85" fontId="18" fillId="2" borderId="0" xfId="0" applyNumberFormat="1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Border="1" applyAlignment="1" applyProtection="1">
      <alignment horizontal="right" vertical="center"/>
      <protection hidden="1"/>
    </xf>
    <xf numFmtId="0" fontId="27" fillId="2" borderId="0" xfId="0" applyFont="1" applyFill="1" applyAlignment="1" applyProtection="1">
      <alignment horizontal="right" vertical="center"/>
      <protection hidden="1"/>
    </xf>
    <xf numFmtId="0" fontId="36" fillId="5" borderId="52" xfId="0" applyFont="1" applyFill="1" applyBorder="1" applyAlignment="1" applyProtection="1">
      <alignment horizontal="center" vertical="center"/>
      <protection hidden="1"/>
    </xf>
    <xf numFmtId="0" fontId="36" fillId="5" borderId="25" xfId="0" applyFont="1" applyFill="1" applyBorder="1" applyAlignment="1" applyProtection="1">
      <alignment horizontal="center" vertical="center"/>
      <protection hidden="1"/>
    </xf>
    <xf numFmtId="0" fontId="36" fillId="5" borderId="53" xfId="0" applyFont="1" applyFill="1" applyBorder="1" applyAlignment="1" applyProtection="1">
      <alignment horizontal="center" vertical="center"/>
      <protection hidden="1"/>
    </xf>
    <xf numFmtId="0" fontId="36" fillId="5" borderId="46" xfId="0" applyFont="1" applyFill="1" applyBorder="1" applyAlignment="1" applyProtection="1">
      <alignment horizontal="center" vertical="center"/>
      <protection hidden="1"/>
    </xf>
    <xf numFmtId="0" fontId="36" fillId="5" borderId="30" xfId="0" applyFont="1" applyFill="1" applyBorder="1" applyAlignment="1" applyProtection="1">
      <alignment horizontal="center" vertical="center"/>
      <protection hidden="1"/>
    </xf>
    <xf numFmtId="185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4" fillId="13" borderId="61" xfId="0" applyFont="1" applyFill="1" applyBorder="1" applyAlignment="1" applyProtection="1">
      <alignment horizontal="center" vertical="center"/>
      <protection hidden="1"/>
    </xf>
    <xf numFmtId="0" fontId="34" fillId="13" borderId="75" xfId="0" applyFont="1" applyFill="1" applyBorder="1" applyAlignment="1" applyProtection="1">
      <alignment horizontal="center" vertical="center"/>
      <protection hidden="1"/>
    </xf>
    <xf numFmtId="0" fontId="34" fillId="13" borderId="62" xfId="0" applyFont="1" applyFill="1" applyBorder="1" applyAlignment="1" applyProtection="1">
      <alignment horizontal="center" vertical="center"/>
      <protection hidden="1"/>
    </xf>
    <xf numFmtId="0" fontId="34" fillId="13" borderId="65" xfId="0" applyFont="1" applyFill="1" applyBorder="1" applyAlignment="1" applyProtection="1">
      <alignment horizontal="center" vertical="center"/>
      <protection hidden="1"/>
    </xf>
    <xf numFmtId="0" fontId="34" fillId="13" borderId="76" xfId="0" applyFont="1" applyFill="1" applyBorder="1" applyAlignment="1" applyProtection="1">
      <alignment horizontal="center" vertical="center"/>
      <protection hidden="1"/>
    </xf>
    <xf numFmtId="0" fontId="34" fillId="13" borderId="66" xfId="0" applyFont="1" applyFill="1" applyBorder="1" applyAlignment="1" applyProtection="1">
      <alignment horizontal="center" vertical="center"/>
      <protection hidden="1"/>
    </xf>
    <xf numFmtId="0" fontId="11" fillId="10" borderId="69" xfId="0" applyFont="1" applyFill="1" applyBorder="1" applyAlignment="1" applyProtection="1">
      <alignment horizontal="center" vertical="center" wrapText="1"/>
      <protection hidden="1"/>
    </xf>
    <xf numFmtId="0" fontId="11" fillId="10" borderId="70" xfId="0" applyFont="1" applyFill="1" applyBorder="1" applyAlignment="1" applyProtection="1">
      <alignment horizontal="center" vertical="center" wrapText="1"/>
      <protection hidden="1"/>
    </xf>
    <xf numFmtId="0" fontId="11" fillId="10" borderId="71" xfId="0" applyFont="1" applyFill="1" applyBorder="1" applyAlignment="1" applyProtection="1">
      <alignment horizontal="center" vertical="center" wrapText="1"/>
      <protection hidden="1"/>
    </xf>
    <xf numFmtId="0" fontId="11" fillId="10" borderId="3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9175"/>
          <c:h val="0.7845"/>
        </c:manualLayout>
      </c:layout>
      <c:scatterChart>
        <c:scatterStyle val="line"/>
        <c:varyColors val="0"/>
        <c:ser>
          <c:idx val="1"/>
          <c:order val="1"/>
          <c:tx>
            <c:v>NPV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'Plant Financial Performance'!$AF$3:$AF$23</c:f>
            </c:numRef>
          </c:xVal>
          <c:yVal>
            <c:numRef>
              <c:f>'Plant Financial Performance'!$AI$3:$AI$23</c:f>
            </c:numRef>
          </c:yVal>
          <c:smooth val="0"/>
        </c:ser>
        <c:axId val="41417554"/>
        <c:axId val="37213667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'Plant Financial Performance'!$AF$3:$AF$23</c:f>
            </c:numRef>
          </c:xVal>
          <c:yVal>
            <c:numRef>
              <c:f>'Plant Financial Performance'!$AJ$3:$AJ$23</c:f>
            </c:numRef>
          </c:yVal>
          <c:smooth val="1"/>
        </c:ser>
        <c:axId val="66487548"/>
        <c:axId val="61517021"/>
      </c:scatterChart>
      <c:valAx>
        <c:axId val="4141755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Number of Analysis Periods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crossBetween val="midCat"/>
        <c:dispUnits/>
        <c:majorUnit val="1"/>
      </c:valAx>
      <c:valAx>
        <c:axId val="372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crossBetween val="midCat"/>
        <c:dispUnits/>
      </c:valAx>
      <c:valAx>
        <c:axId val="66487548"/>
        <c:scaling>
          <c:orientation val="minMax"/>
        </c:scaling>
        <c:axPos val="b"/>
        <c:delete val="1"/>
        <c:majorTickMark val="in"/>
        <c:minorTickMark val="none"/>
        <c:tickLblPos val="nextTo"/>
        <c:crossAx val="61517021"/>
        <c:crosses val="max"/>
        <c:crossBetween val="midCat"/>
        <c:dispUnits/>
      </c:valAx>
      <c:valAx>
        <c:axId val="6151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IRR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6487548"/>
        <c:crosses val="max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9525</xdr:rowOff>
    </xdr:from>
    <xdr:to>
      <xdr:col>2</xdr:col>
      <xdr:colOff>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343025" y="4076700"/>
          <a:ext cx="0" cy="3429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76200</xdr:rowOff>
    </xdr:from>
    <xdr:to>
      <xdr:col>1</xdr:col>
      <xdr:colOff>600075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33500" y="2962275"/>
          <a:ext cx="0" cy="257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31</xdr:row>
      <xdr:rowOff>38100</xdr:rowOff>
    </xdr:from>
    <xdr:to>
      <xdr:col>18</xdr:col>
      <xdr:colOff>76200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428625" y="6486525"/>
        <a:ext cx="67532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20</xdr:row>
      <xdr:rowOff>171450</xdr:rowOff>
    </xdr:from>
    <xdr:to>
      <xdr:col>5</xdr:col>
      <xdr:colOff>371475</xdr:colOff>
      <xdr:row>21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600325" y="4238625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20</xdr:row>
      <xdr:rowOff>228600</xdr:rowOff>
    </xdr:from>
    <xdr:to>
      <xdr:col>6</xdr:col>
      <xdr:colOff>390525</xdr:colOff>
      <xdr:row>21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000375" y="4295775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219075</xdr:rowOff>
    </xdr:from>
    <xdr:to>
      <xdr:col>6</xdr:col>
      <xdr:colOff>390525</xdr:colOff>
      <xdr:row>25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3000375" y="4981575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238125</xdr:rowOff>
    </xdr:from>
    <xdr:to>
      <xdr:col>9</xdr:col>
      <xdr:colOff>257175</xdr:colOff>
      <xdr:row>23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686175" y="4752975"/>
          <a:ext cx="190500" cy="9525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238125</xdr:rowOff>
    </xdr:from>
    <xdr:to>
      <xdr:col>8</xdr:col>
      <xdr:colOff>200025</xdr:colOff>
      <xdr:row>23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3343275" y="4752975"/>
          <a:ext cx="190500" cy="9525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20</xdr:row>
      <xdr:rowOff>238125</xdr:rowOff>
    </xdr:from>
    <xdr:to>
      <xdr:col>10</xdr:col>
      <xdr:colOff>438150</xdr:colOff>
      <xdr:row>22</xdr:row>
      <xdr:rowOff>9525</xdr:rowOff>
    </xdr:to>
    <xdr:sp>
      <xdr:nvSpPr>
        <xdr:cNvPr id="9" name="Line 11"/>
        <xdr:cNvSpPr>
          <a:spLocks/>
        </xdr:cNvSpPr>
      </xdr:nvSpPr>
      <xdr:spPr>
        <a:xfrm>
          <a:off x="4333875" y="4305300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24</xdr:row>
      <xdr:rowOff>19050</xdr:rowOff>
    </xdr:from>
    <xdr:to>
      <xdr:col>11</xdr:col>
      <xdr:colOff>209550</xdr:colOff>
      <xdr:row>26</xdr:row>
      <xdr:rowOff>9525</xdr:rowOff>
    </xdr:to>
    <xdr:sp>
      <xdr:nvSpPr>
        <xdr:cNvPr id="10" name="Line 12"/>
        <xdr:cNvSpPr>
          <a:spLocks/>
        </xdr:cNvSpPr>
      </xdr:nvSpPr>
      <xdr:spPr>
        <a:xfrm flipV="1">
          <a:off x="4552950" y="502920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123825</xdr:rowOff>
    </xdr:from>
    <xdr:to>
      <xdr:col>2</xdr:col>
      <xdr:colOff>0</xdr:colOff>
      <xdr:row>9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1343025" y="1724025"/>
          <a:ext cx="0" cy="2571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10</xdr:row>
      <xdr:rowOff>9525</xdr:rowOff>
    </xdr:from>
    <xdr:to>
      <xdr:col>18</xdr:col>
      <xdr:colOff>85725</xdr:colOff>
      <xdr:row>11</xdr:row>
      <xdr:rowOff>28575</xdr:rowOff>
    </xdr:to>
    <xdr:sp>
      <xdr:nvSpPr>
        <xdr:cNvPr id="12" name="Line 15"/>
        <xdr:cNvSpPr>
          <a:spLocks/>
        </xdr:cNvSpPr>
      </xdr:nvSpPr>
      <xdr:spPr>
        <a:xfrm rot="8883494">
          <a:off x="7181850" y="2000250"/>
          <a:ext cx="9525" cy="2571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123825</xdr:rowOff>
    </xdr:from>
    <xdr:to>
      <xdr:col>18</xdr:col>
      <xdr:colOff>85725</xdr:colOff>
      <xdr:row>26</xdr:row>
      <xdr:rowOff>19050</xdr:rowOff>
    </xdr:to>
    <xdr:sp>
      <xdr:nvSpPr>
        <xdr:cNvPr id="13" name="Line 16"/>
        <xdr:cNvSpPr>
          <a:spLocks/>
        </xdr:cNvSpPr>
      </xdr:nvSpPr>
      <xdr:spPr>
        <a:xfrm rot="2212194">
          <a:off x="7181850" y="5133975"/>
          <a:ext cx="9525" cy="2571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4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rot="5400000">
          <a:off x="1762125" y="981075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4</xdr:row>
      <xdr:rowOff>85725</xdr:rowOff>
    </xdr:from>
    <xdr:to>
      <xdr:col>23</xdr:col>
      <xdr:colOff>9525</xdr:colOff>
      <xdr:row>4</xdr:row>
      <xdr:rowOff>95250</xdr:rowOff>
    </xdr:to>
    <xdr:sp>
      <xdr:nvSpPr>
        <xdr:cNvPr id="15" name="Line 19"/>
        <xdr:cNvSpPr>
          <a:spLocks/>
        </xdr:cNvSpPr>
      </xdr:nvSpPr>
      <xdr:spPr>
        <a:xfrm rot="3306557">
          <a:off x="8267700" y="895350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26</xdr:row>
      <xdr:rowOff>152400</xdr:rowOff>
    </xdr:from>
    <xdr:to>
      <xdr:col>26</xdr:col>
      <xdr:colOff>95250</xdr:colOff>
      <xdr:row>27</xdr:row>
      <xdr:rowOff>200025</xdr:rowOff>
    </xdr:to>
    <xdr:sp>
      <xdr:nvSpPr>
        <xdr:cNvPr id="16" name="Line 20"/>
        <xdr:cNvSpPr>
          <a:spLocks/>
        </xdr:cNvSpPr>
      </xdr:nvSpPr>
      <xdr:spPr>
        <a:xfrm rot="2161642">
          <a:off x="9944100" y="5524500"/>
          <a:ext cx="38100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590550</xdr:colOff>
      <xdr:row>28</xdr:row>
      <xdr:rowOff>114300</xdr:rowOff>
    </xdr:from>
    <xdr:to>
      <xdr:col>27</xdr:col>
      <xdr:colOff>66675</xdr:colOff>
      <xdr:row>28</xdr:row>
      <xdr:rowOff>152400</xdr:rowOff>
    </xdr:to>
    <xdr:sp>
      <xdr:nvSpPr>
        <xdr:cNvPr id="17" name="Line 21"/>
        <xdr:cNvSpPr>
          <a:spLocks/>
        </xdr:cNvSpPr>
      </xdr:nvSpPr>
      <xdr:spPr>
        <a:xfrm rot="18584798" flipV="1">
          <a:off x="9867900" y="5895975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30</xdr:row>
      <xdr:rowOff>76200</xdr:rowOff>
    </xdr:from>
    <xdr:to>
      <xdr:col>23</xdr:col>
      <xdr:colOff>19050</xdr:colOff>
      <xdr:row>30</xdr:row>
      <xdr:rowOff>114300</xdr:rowOff>
    </xdr:to>
    <xdr:sp>
      <xdr:nvSpPr>
        <xdr:cNvPr id="18" name="Line 22"/>
        <xdr:cNvSpPr>
          <a:spLocks/>
        </xdr:cNvSpPr>
      </xdr:nvSpPr>
      <xdr:spPr>
        <a:xfrm rot="3571556">
          <a:off x="8305800" y="634365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66675</xdr:rowOff>
    </xdr:from>
    <xdr:to>
      <xdr:col>23</xdr:col>
      <xdr:colOff>9525</xdr:colOff>
      <xdr:row>31</xdr:row>
      <xdr:rowOff>104775</xdr:rowOff>
    </xdr:to>
    <xdr:sp>
      <xdr:nvSpPr>
        <xdr:cNvPr id="19" name="Line 23"/>
        <xdr:cNvSpPr>
          <a:spLocks/>
        </xdr:cNvSpPr>
      </xdr:nvSpPr>
      <xdr:spPr>
        <a:xfrm rot="18028443" flipV="1">
          <a:off x="8296275" y="651510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209550</xdr:rowOff>
    </xdr:from>
    <xdr:to>
      <xdr:col>27</xdr:col>
      <xdr:colOff>123825</xdr:colOff>
      <xdr:row>28</xdr:row>
      <xdr:rowOff>19050</xdr:rowOff>
    </xdr:to>
    <xdr:sp>
      <xdr:nvSpPr>
        <xdr:cNvPr id="20" name="Line 24"/>
        <xdr:cNvSpPr>
          <a:spLocks/>
        </xdr:cNvSpPr>
      </xdr:nvSpPr>
      <xdr:spPr>
        <a:xfrm rot="4802878" flipH="1">
          <a:off x="9925050" y="5762625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76200</xdr:rowOff>
    </xdr:from>
    <xdr:to>
      <xdr:col>19</xdr:col>
      <xdr:colOff>57150</xdr:colOff>
      <xdr:row>26</xdr:row>
      <xdr:rowOff>114300</xdr:rowOff>
    </xdr:to>
    <xdr:sp>
      <xdr:nvSpPr>
        <xdr:cNvPr id="21" name="Line 25"/>
        <xdr:cNvSpPr>
          <a:spLocks/>
        </xdr:cNvSpPr>
      </xdr:nvSpPr>
      <xdr:spPr>
        <a:xfrm rot="18659690" flipV="1">
          <a:off x="7077075" y="5448300"/>
          <a:ext cx="228600" cy="381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2</xdr:row>
      <xdr:rowOff>0</xdr:rowOff>
    </xdr:from>
    <xdr:to>
      <xdr:col>19</xdr:col>
      <xdr:colOff>95250</xdr:colOff>
      <xdr:row>2</xdr:row>
      <xdr:rowOff>9525</xdr:rowOff>
    </xdr:to>
    <xdr:sp>
      <xdr:nvSpPr>
        <xdr:cNvPr id="22" name="Line 26"/>
        <xdr:cNvSpPr>
          <a:spLocks/>
        </xdr:cNvSpPr>
      </xdr:nvSpPr>
      <xdr:spPr>
        <a:xfrm rot="5670001">
          <a:off x="7086600" y="266700"/>
          <a:ext cx="257175" cy="95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171450</xdr:rowOff>
    </xdr:from>
    <xdr:to>
      <xdr:col>12</xdr:col>
      <xdr:colOff>85725</xdr:colOff>
      <xdr:row>2</xdr:row>
      <xdr:rowOff>9525</xdr:rowOff>
    </xdr:to>
    <xdr:sp>
      <xdr:nvSpPr>
        <xdr:cNvPr id="23" name="Line 27"/>
        <xdr:cNvSpPr>
          <a:spLocks/>
        </xdr:cNvSpPr>
      </xdr:nvSpPr>
      <xdr:spPr>
        <a:xfrm rot="5670001">
          <a:off x="4352925" y="257175"/>
          <a:ext cx="295275" cy="19050"/>
        </a:xfrm>
        <a:prstGeom prst="line">
          <a:avLst/>
        </a:prstGeom>
        <a:noFill/>
        <a:ln w="9525" cmpd="sng">
          <a:solidFill>
            <a:srgbClr val="CC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19050</xdr:rowOff>
    </xdr:from>
    <xdr:to>
      <xdr:col>9</xdr:col>
      <xdr:colOff>0</xdr:colOff>
      <xdr:row>20</xdr:row>
      <xdr:rowOff>238125</xdr:rowOff>
    </xdr:to>
    <xdr:sp>
      <xdr:nvSpPr>
        <xdr:cNvPr id="24" name="Line 28"/>
        <xdr:cNvSpPr>
          <a:spLocks/>
        </xdr:cNvSpPr>
      </xdr:nvSpPr>
      <xdr:spPr>
        <a:xfrm>
          <a:off x="3619500" y="4086225"/>
          <a:ext cx="0" cy="2190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9</xdr:row>
      <xdr:rowOff>66675</xdr:rowOff>
    </xdr:from>
    <xdr:to>
      <xdr:col>19</xdr:col>
      <xdr:colOff>28575</xdr:colOff>
      <xdr:row>9</xdr:row>
      <xdr:rowOff>123825</xdr:rowOff>
    </xdr:to>
    <xdr:sp>
      <xdr:nvSpPr>
        <xdr:cNvPr id="25" name="Line 29"/>
        <xdr:cNvSpPr>
          <a:spLocks/>
        </xdr:cNvSpPr>
      </xdr:nvSpPr>
      <xdr:spPr>
        <a:xfrm rot="3466338">
          <a:off x="7086600" y="1866900"/>
          <a:ext cx="190500" cy="571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95250</xdr:rowOff>
    </xdr:from>
    <xdr:to>
      <xdr:col>14</xdr:col>
      <xdr:colOff>228600</xdr:colOff>
      <xdr:row>17</xdr:row>
      <xdr:rowOff>133350</xdr:rowOff>
    </xdr:to>
    <xdr:sp>
      <xdr:nvSpPr>
        <xdr:cNvPr id="26" name="Line 30"/>
        <xdr:cNvSpPr>
          <a:spLocks/>
        </xdr:cNvSpPr>
      </xdr:nvSpPr>
      <xdr:spPr>
        <a:xfrm rot="3864861">
          <a:off x="5505450" y="3552825"/>
          <a:ext cx="228600" cy="38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66675</xdr:rowOff>
    </xdr:from>
    <xdr:to>
      <xdr:col>14</xdr:col>
      <xdr:colOff>238125</xdr:colOff>
      <xdr:row>18</xdr:row>
      <xdr:rowOff>104775</xdr:rowOff>
    </xdr:to>
    <xdr:sp>
      <xdr:nvSpPr>
        <xdr:cNvPr id="27" name="Line 31"/>
        <xdr:cNvSpPr>
          <a:spLocks/>
        </xdr:cNvSpPr>
      </xdr:nvSpPr>
      <xdr:spPr>
        <a:xfrm rot="17735137" flipV="1">
          <a:off x="5514975" y="3724275"/>
          <a:ext cx="228600" cy="38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590550</xdr:colOff>
      <xdr:row>7</xdr:row>
      <xdr:rowOff>28575</xdr:rowOff>
    </xdr:from>
    <xdr:to>
      <xdr:col>27</xdr:col>
      <xdr:colOff>66675</xdr:colOff>
      <xdr:row>7</xdr:row>
      <xdr:rowOff>66675</xdr:rowOff>
    </xdr:to>
    <xdr:sp>
      <xdr:nvSpPr>
        <xdr:cNvPr id="28" name="Line 32"/>
        <xdr:cNvSpPr>
          <a:spLocks/>
        </xdr:cNvSpPr>
      </xdr:nvSpPr>
      <xdr:spPr>
        <a:xfrm rot="2965963">
          <a:off x="9867900" y="1447800"/>
          <a:ext cx="22860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26</xdr:col>
      <xdr:colOff>104775</xdr:colOff>
      <xdr:row>9</xdr:row>
      <xdr:rowOff>47625</xdr:rowOff>
    </xdr:to>
    <xdr:sp>
      <xdr:nvSpPr>
        <xdr:cNvPr id="29" name="Line 33"/>
        <xdr:cNvSpPr>
          <a:spLocks/>
        </xdr:cNvSpPr>
      </xdr:nvSpPr>
      <xdr:spPr>
        <a:xfrm rot="18981602" flipV="1">
          <a:off x="9953625" y="1619250"/>
          <a:ext cx="3810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28575</xdr:rowOff>
    </xdr:from>
    <xdr:to>
      <xdr:col>22</xdr:col>
      <xdr:colOff>190500</xdr:colOff>
      <xdr:row>5</xdr:row>
      <xdr:rowOff>66675</xdr:rowOff>
    </xdr:to>
    <xdr:sp>
      <xdr:nvSpPr>
        <xdr:cNvPr id="30" name="Line 34"/>
        <xdr:cNvSpPr>
          <a:spLocks/>
        </xdr:cNvSpPr>
      </xdr:nvSpPr>
      <xdr:spPr>
        <a:xfrm rot="18128045" flipV="1">
          <a:off x="8277225" y="1019175"/>
          <a:ext cx="22860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45</xdr:row>
      <xdr:rowOff>76200</xdr:rowOff>
    </xdr:from>
    <xdr:to>
      <xdr:col>7</xdr:col>
      <xdr:colOff>238125</xdr:colOff>
      <xdr:row>47</xdr:row>
      <xdr:rowOff>19050</xdr:rowOff>
    </xdr:to>
    <xdr:sp>
      <xdr:nvSpPr>
        <xdr:cNvPr id="31" name="Line 36"/>
        <xdr:cNvSpPr>
          <a:spLocks/>
        </xdr:cNvSpPr>
      </xdr:nvSpPr>
      <xdr:spPr>
        <a:xfrm>
          <a:off x="3248025" y="9163050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41</xdr:row>
      <xdr:rowOff>28575</xdr:rowOff>
    </xdr:from>
    <xdr:to>
      <xdr:col>51</xdr:col>
      <xdr:colOff>76200</xdr:colOff>
      <xdr:row>42</xdr:row>
      <xdr:rowOff>133350</xdr:rowOff>
    </xdr:to>
    <xdr:sp>
      <xdr:nvSpPr>
        <xdr:cNvPr id="32" name="Line 37"/>
        <xdr:cNvSpPr>
          <a:spLocks/>
        </xdr:cNvSpPr>
      </xdr:nvSpPr>
      <xdr:spPr>
        <a:xfrm>
          <a:off x="20764500" y="8467725"/>
          <a:ext cx="0" cy="2667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171450</xdr:rowOff>
    </xdr:from>
    <xdr:to>
      <xdr:col>2</xdr:col>
      <xdr:colOff>409575</xdr:colOff>
      <xdr:row>26</xdr:row>
      <xdr:rowOff>0</xdr:rowOff>
    </xdr:to>
    <xdr:sp>
      <xdr:nvSpPr>
        <xdr:cNvPr id="33" name="Line 38"/>
        <xdr:cNvSpPr>
          <a:spLocks/>
        </xdr:cNvSpPr>
      </xdr:nvSpPr>
      <xdr:spPr>
        <a:xfrm flipH="1">
          <a:off x="1752600" y="5181600"/>
          <a:ext cx="0" cy="190500"/>
        </a:xfrm>
        <a:prstGeom prst="line">
          <a:avLst/>
        </a:prstGeom>
        <a:noFill/>
        <a:ln w="9525" cmpd="sng">
          <a:solidFill>
            <a:srgbClr val="99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152400</xdr:rowOff>
    </xdr:from>
    <xdr:to>
      <xdr:col>12</xdr:col>
      <xdr:colOff>114300</xdr:colOff>
      <xdr:row>58</xdr:row>
      <xdr:rowOff>28575</xdr:rowOff>
    </xdr:to>
    <xdr:sp>
      <xdr:nvSpPr>
        <xdr:cNvPr id="34" name="Line 39"/>
        <xdr:cNvSpPr>
          <a:spLocks/>
        </xdr:cNvSpPr>
      </xdr:nvSpPr>
      <xdr:spPr>
        <a:xfrm flipV="1">
          <a:off x="4676775" y="1085850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9525</xdr:rowOff>
    </xdr:from>
    <xdr:to>
      <xdr:col>16</xdr:col>
      <xdr:colOff>38100</xdr:colOff>
      <xdr:row>52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5924550" y="990600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476250</xdr:colOff>
      <xdr:row>52</xdr:row>
      <xdr:rowOff>47625</xdr:rowOff>
    </xdr:from>
    <xdr:to>
      <xdr:col>50</xdr:col>
      <xdr:colOff>476250</xdr:colOff>
      <xdr:row>54</xdr:row>
      <xdr:rowOff>85725</xdr:rowOff>
    </xdr:to>
    <xdr:sp>
      <xdr:nvSpPr>
        <xdr:cNvPr id="36" name="Line 41"/>
        <xdr:cNvSpPr>
          <a:spLocks/>
        </xdr:cNvSpPr>
      </xdr:nvSpPr>
      <xdr:spPr>
        <a:xfrm flipV="1">
          <a:off x="20554950" y="10267950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152400</xdr:rowOff>
    </xdr:from>
    <xdr:to>
      <xdr:col>52</xdr:col>
      <xdr:colOff>476250</xdr:colOff>
      <xdr:row>45</xdr:row>
      <xdr:rowOff>28575</xdr:rowOff>
    </xdr:to>
    <xdr:sp>
      <xdr:nvSpPr>
        <xdr:cNvPr id="37" name="Line 42"/>
        <xdr:cNvSpPr>
          <a:spLocks/>
        </xdr:cNvSpPr>
      </xdr:nvSpPr>
      <xdr:spPr>
        <a:xfrm flipV="1">
          <a:off x="21774150" y="8753475"/>
          <a:ext cx="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0</xdr:colOff>
      <xdr:row>30</xdr:row>
      <xdr:rowOff>28575</xdr:rowOff>
    </xdr:to>
    <xdr:sp>
      <xdr:nvSpPr>
        <xdr:cNvPr id="38" name="Line 43"/>
        <xdr:cNvSpPr>
          <a:spLocks/>
        </xdr:cNvSpPr>
      </xdr:nvSpPr>
      <xdr:spPr>
        <a:xfrm flipV="1">
          <a:off x="1762125" y="5981700"/>
          <a:ext cx="0" cy="314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RowColHeaders="0" tabSelected="1" zoomScale="94" zoomScaleNormal="94" workbookViewId="0" topLeftCell="A1">
      <selection activeCell="AQ42" sqref="AQ42"/>
    </sheetView>
  </sheetViews>
  <sheetFormatPr defaultColWidth="9.140625" defaultRowHeight="12.75"/>
  <cols>
    <col min="1" max="1" width="11.00390625" style="3" customWidth="1"/>
    <col min="2" max="2" width="9.140625" style="2" customWidth="1"/>
    <col min="3" max="3" width="6.28125" style="2" customWidth="1"/>
    <col min="4" max="4" width="3.8515625" style="2" customWidth="1"/>
    <col min="5" max="5" width="3.140625" style="2" customWidth="1"/>
    <col min="6" max="6" width="5.7109375" style="2" customWidth="1"/>
    <col min="7" max="7" width="6.00390625" style="2" customWidth="1"/>
    <col min="8" max="8" width="4.8515625" style="2" customWidth="1"/>
    <col min="9" max="9" width="4.28125" style="2" customWidth="1"/>
    <col min="10" max="10" width="4.140625" style="2" customWidth="1"/>
    <col min="11" max="11" width="6.7109375" style="2" customWidth="1"/>
    <col min="12" max="12" width="3.28125" style="2" customWidth="1"/>
    <col min="13" max="13" width="4.421875" style="2" customWidth="1"/>
    <col min="14" max="14" width="9.7109375" style="2" customWidth="1"/>
    <col min="15" max="15" width="4.28125" style="2" customWidth="1"/>
    <col min="16" max="16" width="1.421875" style="2" customWidth="1"/>
    <col min="17" max="18" width="9.140625" style="2" customWidth="1"/>
    <col min="19" max="19" width="2.140625" style="2" customWidth="1"/>
    <col min="20" max="20" width="1.7109375" style="2" customWidth="1"/>
    <col min="21" max="21" width="9.140625" style="2" customWidth="1"/>
    <col min="22" max="22" width="5.140625" style="2" customWidth="1"/>
    <col min="23" max="23" width="3.00390625" style="2" customWidth="1"/>
    <col min="24" max="24" width="2.28125" style="2" customWidth="1"/>
    <col min="25" max="26" width="9.140625" style="2" customWidth="1"/>
    <col min="27" max="27" width="2.140625" style="2" customWidth="1"/>
    <col min="28" max="28" width="2.00390625" style="2" customWidth="1"/>
    <col min="29" max="29" width="9.140625" style="2" customWidth="1"/>
    <col min="30" max="30" width="9.8515625" style="2" customWidth="1"/>
    <col min="31" max="31" width="10.8515625" style="2" customWidth="1"/>
    <col min="32" max="32" width="9.140625" style="2" hidden="1" customWidth="1"/>
    <col min="33" max="33" width="10.8515625" style="3" hidden="1" customWidth="1"/>
    <col min="34" max="36" width="9.140625" style="3" hidden="1" customWidth="1"/>
    <col min="37" max="37" width="7.57421875" style="78" hidden="1" customWidth="1"/>
    <col min="38" max="16384" width="9.140625" style="2" customWidth="1"/>
  </cols>
  <sheetData>
    <row r="1" spans="1:43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K1" s="77"/>
      <c r="AL1" s="1"/>
      <c r="AM1" s="1"/>
      <c r="AN1" s="1"/>
      <c r="AO1" s="1"/>
      <c r="AP1" s="1"/>
      <c r="AQ1" s="1"/>
    </row>
    <row r="2" spans="1:43" ht="14.25" customHeight="1" thickBot="1" thickTop="1">
      <c r="A2" s="1"/>
      <c r="B2" s="1"/>
      <c r="C2" s="1"/>
      <c r="D2" s="1"/>
      <c r="E2" s="1"/>
      <c r="F2" s="1"/>
      <c r="G2" s="1"/>
      <c r="H2" s="185">
        <f>U7+Q4</f>
        <v>31.250000000000007</v>
      </c>
      <c r="I2" s="186"/>
      <c r="J2" s="201" t="s">
        <v>21</v>
      </c>
      <c r="K2" s="202"/>
      <c r="L2" s="4"/>
      <c r="M2" s="5"/>
      <c r="N2" s="6" t="s">
        <v>19</v>
      </c>
      <c r="O2" s="6" t="s">
        <v>19</v>
      </c>
      <c r="P2" s="7">
        <f>0.08*X31</f>
        <v>0</v>
      </c>
      <c r="Q2" s="144" t="s">
        <v>22</v>
      </c>
      <c r="R2" s="145"/>
      <c r="S2" s="8" t="s">
        <v>18</v>
      </c>
      <c r="T2" s="9"/>
      <c r="U2" s="9"/>
      <c r="V2" s="1"/>
      <c r="W2" s="1"/>
      <c r="X2" s="10"/>
      <c r="Y2" s="148" t="s">
        <v>5</v>
      </c>
      <c r="Z2" s="149"/>
      <c r="AA2" s="11"/>
      <c r="AB2" s="1"/>
      <c r="AC2" s="1"/>
      <c r="AD2" s="1"/>
      <c r="AE2" s="1"/>
      <c r="AF2" s="12" t="s">
        <v>28</v>
      </c>
      <c r="AG2" s="12" t="s">
        <v>29</v>
      </c>
      <c r="AH2" s="12" t="s">
        <v>30</v>
      </c>
      <c r="AI2" s="12" t="s">
        <v>23</v>
      </c>
      <c r="AJ2" s="12" t="s">
        <v>0</v>
      </c>
      <c r="AK2" s="80" t="s">
        <v>32</v>
      </c>
      <c r="AL2" s="81"/>
      <c r="AM2" s="81"/>
      <c r="AN2" s="1"/>
      <c r="AO2" s="1"/>
      <c r="AP2" s="1"/>
      <c r="AQ2" s="1"/>
    </row>
    <row r="3" spans="1:43" ht="13.5" customHeight="1" thickBot="1" thickTop="1">
      <c r="A3" s="1"/>
      <c r="B3" s="13"/>
      <c r="C3" s="1"/>
      <c r="D3" s="1"/>
      <c r="E3" s="1"/>
      <c r="F3" s="1"/>
      <c r="G3" s="1"/>
      <c r="H3" s="187"/>
      <c r="I3" s="186"/>
      <c r="J3" s="203"/>
      <c r="K3" s="204"/>
      <c r="L3" s="1"/>
      <c r="M3" s="1"/>
      <c r="N3" s="1"/>
      <c r="O3" s="1"/>
      <c r="P3" s="1"/>
      <c r="Q3" s="146"/>
      <c r="R3" s="147"/>
      <c r="S3" s="1"/>
      <c r="T3" s="1"/>
      <c r="U3" s="14"/>
      <c r="V3" s="1"/>
      <c r="W3" s="15"/>
      <c r="X3" s="1"/>
      <c r="Y3" s="150"/>
      <c r="Z3" s="151"/>
      <c r="AA3" s="11"/>
      <c r="AB3" s="1"/>
      <c r="AC3" s="1"/>
      <c r="AD3" s="1"/>
      <c r="AE3" s="1"/>
      <c r="AF3" s="3">
        <v>0</v>
      </c>
      <c r="AG3" s="16">
        <f>-$U$30</f>
        <v>-100.34875</v>
      </c>
      <c r="AH3" s="16">
        <f>-$U$30</f>
        <v>-100.34875</v>
      </c>
      <c r="AI3" s="16">
        <f>SUM($AH$3:AH3)</f>
        <v>-100.34875</v>
      </c>
      <c r="AJ3" s="12"/>
      <c r="AK3" s="77"/>
      <c r="AL3" s="1"/>
      <c r="AM3" s="1"/>
      <c r="AN3" s="1"/>
      <c r="AO3" s="1"/>
      <c r="AP3" s="1"/>
      <c r="AQ3" s="1"/>
    </row>
    <row r="4" spans="1:43" ht="29.25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>
        <f>0.08*Y33</f>
        <v>5.04</v>
      </c>
      <c r="R4" s="18"/>
      <c r="S4" s="1"/>
      <c r="T4" s="1"/>
      <c r="U4" s="10"/>
      <c r="V4" s="1"/>
      <c r="W4" s="15"/>
      <c r="X4" s="1"/>
      <c r="Y4" s="106">
        <v>186</v>
      </c>
      <c r="Z4" s="106"/>
      <c r="AA4" s="1"/>
      <c r="AB4" s="1"/>
      <c r="AC4" s="1"/>
      <c r="AD4" s="1"/>
      <c r="AE4" s="1"/>
      <c r="AF4" s="3">
        <f>AF3+1</f>
        <v>1</v>
      </c>
      <c r="AG4" s="16">
        <f>$U$7</f>
        <v>26.210000000000008</v>
      </c>
      <c r="AH4" s="16">
        <f aca="true" t="shared" si="0" ref="AH4:AH23">AG4/(1+$F$15/100)^AF4</f>
        <v>24.96190476190477</v>
      </c>
      <c r="AI4" s="16">
        <f>SUM($AH$3:AH4)</f>
        <v>-75.38684523809522</v>
      </c>
      <c r="AJ4" s="19"/>
      <c r="AK4" s="79">
        <f>NPV($F$15/100,$AG$4:AG4)+$AG$3</f>
        <v>-75.38684523809522</v>
      </c>
      <c r="AL4" s="1"/>
      <c r="AM4" s="1"/>
      <c r="AN4" s="1"/>
      <c r="AO4" s="1"/>
      <c r="AP4" s="1"/>
      <c r="AQ4" s="1"/>
    </row>
    <row r="5" spans="1:43" ht="14.25" thickBot="1" thickTop="1">
      <c r="A5" s="166">
        <f>0.48*U7</f>
        <v>12.580800000000004</v>
      </c>
      <c r="B5" s="168" t="s">
        <v>25</v>
      </c>
      <c r="C5" s="169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2"/>
      <c r="P5" s="20"/>
      <c r="Q5" s="21"/>
      <c r="R5" s="20"/>
      <c r="S5" s="20"/>
      <c r="T5" s="10"/>
      <c r="U5" s="153" t="s">
        <v>11</v>
      </c>
      <c r="V5" s="154"/>
      <c r="W5" s="23"/>
      <c r="X5" s="1"/>
      <c r="Y5" s="123" t="s">
        <v>17</v>
      </c>
      <c r="Z5" s="123"/>
      <c r="AA5" s="1"/>
      <c r="AB5" s="24"/>
      <c r="AC5" s="140" t="s">
        <v>1</v>
      </c>
      <c r="AD5" s="141"/>
      <c r="AE5" s="152">
        <v>130</v>
      </c>
      <c r="AF5" s="3">
        <f aca="true" t="shared" si="1" ref="AF5:AF23">AF4+1</f>
        <v>2</v>
      </c>
      <c r="AG5" s="16">
        <f>AG4</f>
        <v>26.210000000000008</v>
      </c>
      <c r="AH5" s="16">
        <f t="shared" si="0"/>
        <v>23.773242630385493</v>
      </c>
      <c r="AI5" s="16">
        <f>SUM($AH$3:AH5)</f>
        <v>-51.61360260770972</v>
      </c>
      <c r="AJ5" s="25"/>
      <c r="AK5" s="79">
        <f>NPV($F$15/100,$AG$4:AG5)+$AG$3</f>
        <v>-51.61360260770974</v>
      </c>
      <c r="AL5" s="1"/>
      <c r="AM5" s="1"/>
      <c r="AN5" s="1"/>
      <c r="AO5" s="1"/>
      <c r="AP5" s="1"/>
      <c r="AQ5" s="1"/>
    </row>
    <row r="6" spans="1:43" ht="14.25" thickBot="1" thickTop="1">
      <c r="A6" s="166"/>
      <c r="B6" s="170"/>
      <c r="C6" s="171"/>
      <c r="D6" s="1"/>
      <c r="E6" s="26"/>
      <c r="F6" s="27"/>
      <c r="G6" s="27"/>
      <c r="H6" s="27"/>
      <c r="I6" s="14"/>
      <c r="J6" s="27"/>
      <c r="K6" s="27"/>
      <c r="L6" s="27"/>
      <c r="M6" s="28"/>
      <c r="N6" s="1"/>
      <c r="O6" s="1"/>
      <c r="P6" s="1"/>
      <c r="Q6" s="26"/>
      <c r="R6" s="27"/>
      <c r="S6" s="15"/>
      <c r="T6" s="27"/>
      <c r="U6" s="155"/>
      <c r="V6" s="156"/>
      <c r="W6" s="29"/>
      <c r="X6" s="1"/>
      <c r="Y6" s="123"/>
      <c r="Z6" s="123"/>
      <c r="AA6" s="30"/>
      <c r="AB6" s="1"/>
      <c r="AC6" s="142"/>
      <c r="AD6" s="143"/>
      <c r="AE6" s="152"/>
      <c r="AF6" s="3">
        <f t="shared" si="1"/>
        <v>3</v>
      </c>
      <c r="AG6" s="16">
        <f>AG5</f>
        <v>26.210000000000008</v>
      </c>
      <c r="AH6" s="16">
        <f t="shared" si="0"/>
        <v>22.641183457509992</v>
      </c>
      <c r="AI6" s="16">
        <f>SUM($AH$3:AH6)</f>
        <v>-28.97241915019973</v>
      </c>
      <c r="AJ6" s="25">
        <f>IRR($AG$3:AG6,0.05)*100</f>
        <v>-11.269738750873902</v>
      </c>
      <c r="AK6" s="79">
        <f>NPV($F$15/100,$AG$4:AG6)+$AG$3</f>
        <v>-28.97241915019974</v>
      </c>
      <c r="AL6" s="1"/>
      <c r="AM6" s="1"/>
      <c r="AN6" s="1"/>
      <c r="AO6" s="1"/>
      <c r="AP6" s="1"/>
      <c r="AQ6" s="1"/>
    </row>
    <row r="7" spans="1:43" ht="19.5" thickBot="1" thickTop="1">
      <c r="A7" s="31"/>
      <c r="B7" s="32"/>
      <c r="C7" s="33"/>
      <c r="D7" s="1"/>
      <c r="E7" s="33"/>
      <c r="F7" s="27"/>
      <c r="G7" s="27"/>
      <c r="H7" s="27"/>
      <c r="I7" s="15"/>
      <c r="J7" s="27"/>
      <c r="K7" s="27"/>
      <c r="L7" s="27"/>
      <c r="M7" s="27"/>
      <c r="N7" s="1"/>
      <c r="O7" s="1"/>
      <c r="P7" s="1"/>
      <c r="Q7" s="33"/>
      <c r="R7" s="27"/>
      <c r="S7" s="15"/>
      <c r="T7" s="27"/>
      <c r="U7" s="163">
        <f>SUM(Y4,-Y7)</f>
        <v>26.210000000000008</v>
      </c>
      <c r="V7" s="163"/>
      <c r="W7" s="30"/>
      <c r="X7" s="1"/>
      <c r="Y7" s="164">
        <f>SUM(AE5,AE8,AE11)</f>
        <v>159.79</v>
      </c>
      <c r="Z7" s="164"/>
      <c r="AA7" s="30"/>
      <c r="AB7" s="1"/>
      <c r="AC7" s="34" t="s">
        <v>18</v>
      </c>
      <c r="AD7" s="35"/>
      <c r="AE7" s="1"/>
      <c r="AF7" s="3">
        <f t="shared" si="1"/>
        <v>4</v>
      </c>
      <c r="AG7" s="16">
        <f aca="true" t="shared" si="2" ref="AG7:AG23">AG6</f>
        <v>26.210000000000008</v>
      </c>
      <c r="AH7" s="16">
        <f t="shared" si="0"/>
        <v>21.563031864295233</v>
      </c>
      <c r="AI7" s="16">
        <f>SUM($AH$3:AH7)</f>
        <v>-7.409387285904497</v>
      </c>
      <c r="AJ7" s="25">
        <f>IRR($AG$3:AG7,0.05)*100</f>
        <v>1.774649047314024</v>
      </c>
      <c r="AK7" s="79">
        <f>NPV($F$15/100,$AG$4:AG7)+$AG$3</f>
        <v>-7.409387285904515</v>
      </c>
      <c r="AL7" s="1"/>
      <c r="AM7" s="1"/>
      <c r="AN7" s="1"/>
      <c r="AO7" s="1"/>
      <c r="AP7" s="1"/>
      <c r="AQ7" s="1"/>
    </row>
    <row r="8" spans="1:43" ht="14.25" thickBot="1" thickTop="1">
      <c r="A8" s="31"/>
      <c r="B8" s="30"/>
      <c r="C8" s="27"/>
      <c r="D8" s="1"/>
      <c r="E8" s="27"/>
      <c r="F8" s="1"/>
      <c r="G8" s="1"/>
      <c r="H8" s="36"/>
      <c r="I8" s="37"/>
      <c r="J8" s="27"/>
      <c r="K8" s="27"/>
      <c r="L8" s="27"/>
      <c r="M8" s="27"/>
      <c r="N8" s="1"/>
      <c r="O8" s="1"/>
      <c r="P8" s="1"/>
      <c r="Q8" s="1"/>
      <c r="R8" s="1"/>
      <c r="S8" s="15"/>
      <c r="T8" s="27"/>
      <c r="U8" s="1"/>
      <c r="V8" s="1"/>
      <c r="W8" s="30"/>
      <c r="X8" s="38"/>
      <c r="Y8" s="140" t="s">
        <v>4</v>
      </c>
      <c r="Z8" s="141"/>
      <c r="AA8" s="39"/>
      <c r="AB8" s="24"/>
      <c r="AC8" s="140" t="s">
        <v>2</v>
      </c>
      <c r="AD8" s="141"/>
      <c r="AE8" s="138">
        <f>0.15*Y4</f>
        <v>27.9</v>
      </c>
      <c r="AF8" s="3">
        <f t="shared" si="1"/>
        <v>5</v>
      </c>
      <c r="AG8" s="16">
        <f t="shared" si="2"/>
        <v>26.210000000000008</v>
      </c>
      <c r="AH8" s="16">
        <f t="shared" si="0"/>
        <v>20.536220823138315</v>
      </c>
      <c r="AI8" s="16">
        <f>SUM($AH$3:AH8)</f>
        <v>13.126833537233818</v>
      </c>
      <c r="AJ8" s="25">
        <f>IRR($AG$3:AG8,0.05)*100</f>
        <v>9.61219195093223</v>
      </c>
      <c r="AK8" s="79">
        <f>NPV($F$15/100,$AG$4:AG8)+$AG$3</f>
        <v>13.126833537233793</v>
      </c>
      <c r="AL8" s="1"/>
      <c r="AM8" s="1"/>
      <c r="AN8" s="1"/>
      <c r="AO8" s="1"/>
      <c r="AP8" s="1"/>
      <c r="AQ8" s="1"/>
    </row>
    <row r="9" spans="1:43" ht="15.75" customHeight="1" thickBot="1" thickTop="1">
      <c r="A9" s="31"/>
      <c r="B9" s="30"/>
      <c r="C9" s="1"/>
      <c r="D9" s="1"/>
      <c r="E9" s="1"/>
      <c r="F9" s="1"/>
      <c r="G9" s="1"/>
      <c r="H9" s="36"/>
      <c r="I9" s="37"/>
      <c r="J9" s="27"/>
      <c r="K9" s="27"/>
      <c r="L9" s="27"/>
      <c r="M9" s="27"/>
      <c r="N9" s="1"/>
      <c r="O9" s="1"/>
      <c r="P9" s="1"/>
      <c r="Q9" s="157" t="s">
        <v>13</v>
      </c>
      <c r="R9" s="158"/>
      <c r="S9" s="15"/>
      <c r="T9" s="1"/>
      <c r="U9" s="139" t="s">
        <v>15</v>
      </c>
      <c r="V9" s="139"/>
      <c r="W9" s="1"/>
      <c r="X9" s="1"/>
      <c r="Y9" s="142"/>
      <c r="Z9" s="143"/>
      <c r="AA9" s="40"/>
      <c r="AB9" s="1"/>
      <c r="AC9" s="142"/>
      <c r="AD9" s="143"/>
      <c r="AE9" s="138"/>
      <c r="AF9" s="3">
        <f t="shared" si="1"/>
        <v>6</v>
      </c>
      <c r="AG9" s="16">
        <f t="shared" si="2"/>
        <v>26.210000000000008</v>
      </c>
      <c r="AH9" s="16">
        <f t="shared" si="0"/>
        <v>19.558305545846018</v>
      </c>
      <c r="AI9" s="16">
        <f>SUM($AH$3:AH9)</f>
        <v>32.68513908307983</v>
      </c>
      <c r="AJ9" s="25">
        <f>IRR($AG$3:AG9,0.05)*100</f>
        <v>14.570769256250102</v>
      </c>
      <c r="AK9" s="79">
        <f>NPV($F$15/100,$AG$4:AG9)+$AG$3</f>
        <v>32.68513908307983</v>
      </c>
      <c r="AL9" s="1"/>
      <c r="AM9" s="1"/>
      <c r="AN9" s="1"/>
      <c r="AO9" s="1"/>
      <c r="AP9" s="1"/>
      <c r="AQ9" s="1"/>
    </row>
    <row r="10" spans="1:43" ht="15" customHeight="1" thickBot="1" thickTop="1">
      <c r="A10" s="31"/>
      <c r="B10" s="30"/>
      <c r="C10" s="1"/>
      <c r="D10" s="1"/>
      <c r="E10" s="1"/>
      <c r="F10" s="1"/>
      <c r="G10" s="1"/>
      <c r="H10" s="41"/>
      <c r="I10" s="42"/>
      <c r="J10" s="27"/>
      <c r="K10" s="27"/>
      <c r="L10" s="27"/>
      <c r="M10" s="27"/>
      <c r="N10" s="1"/>
      <c r="O10" s="1"/>
      <c r="P10" s="43"/>
      <c r="Q10" s="159"/>
      <c r="R10" s="160"/>
      <c r="S10" s="44"/>
      <c r="T10" s="1"/>
      <c r="U10" s="139"/>
      <c r="V10" s="139"/>
      <c r="W10" s="1"/>
      <c r="X10" s="1"/>
      <c r="Y10" s="1"/>
      <c r="Z10" s="1"/>
      <c r="AA10" s="30"/>
      <c r="AB10" s="1"/>
      <c r="AC10" s="34" t="s">
        <v>18</v>
      </c>
      <c r="AD10" s="35"/>
      <c r="AE10" s="1"/>
      <c r="AF10" s="3">
        <f t="shared" si="1"/>
        <v>7</v>
      </c>
      <c r="AG10" s="16">
        <f t="shared" si="2"/>
        <v>26.210000000000008</v>
      </c>
      <c r="AH10" s="16">
        <f t="shared" si="0"/>
        <v>18.62695766271049</v>
      </c>
      <c r="AI10" s="16">
        <f>SUM($AH$3:AH10)</f>
        <v>51.31209674579032</v>
      </c>
      <c r="AJ10" s="25">
        <f>IRR($AG$3:AG10,0.05)*100</f>
        <v>17.842522128964692</v>
      </c>
      <c r="AK10" s="79">
        <f>NPV($F$15/100,$AG$4:AG10)+$AG$3</f>
        <v>51.312096745790285</v>
      </c>
      <c r="AL10" s="1"/>
      <c r="AM10" s="1"/>
      <c r="AN10" s="1"/>
      <c r="AO10" s="1"/>
      <c r="AP10" s="1"/>
      <c r="AQ10" s="1"/>
    </row>
    <row r="11" spans="1:43" ht="18.75" customHeight="1" thickBot="1" thickTop="1">
      <c r="A11" s="172">
        <f>U7-A5</f>
        <v>13.629200000000004</v>
      </c>
      <c r="B11" s="173" t="s">
        <v>20</v>
      </c>
      <c r="C11" s="174"/>
      <c r="D11" s="1"/>
      <c r="E11" s="26"/>
      <c r="F11" s="1"/>
      <c r="G11" s="1"/>
      <c r="H11" s="41"/>
      <c r="I11" s="42"/>
      <c r="J11" s="27"/>
      <c r="K11" s="27"/>
      <c r="L11" s="27"/>
      <c r="M11" s="27"/>
      <c r="N11" s="1"/>
      <c r="O11" s="45"/>
      <c r="P11" s="27"/>
      <c r="Q11" s="159"/>
      <c r="R11" s="160"/>
      <c r="S11" s="46"/>
      <c r="T11" s="1"/>
      <c r="U11" s="139"/>
      <c r="V11" s="139"/>
      <c r="W11" s="1"/>
      <c r="X11" s="1"/>
      <c r="Y11" s="1"/>
      <c r="Z11" s="1"/>
      <c r="AA11" s="30"/>
      <c r="AB11" s="38"/>
      <c r="AC11" s="140" t="s">
        <v>3</v>
      </c>
      <c r="AD11" s="141"/>
      <c r="AE11" s="138">
        <f>0.03*Y33</f>
        <v>1.89</v>
      </c>
      <c r="AF11" s="3">
        <f t="shared" si="1"/>
        <v>8</v>
      </c>
      <c r="AG11" s="16">
        <f t="shared" si="2"/>
        <v>26.210000000000008</v>
      </c>
      <c r="AH11" s="16">
        <f t="shared" si="0"/>
        <v>17.739959678771896</v>
      </c>
      <c r="AI11" s="16">
        <f>SUM($AH$3:AH11)</f>
        <v>69.05205642456221</v>
      </c>
      <c r="AJ11" s="25">
        <f>IRR($AG$3:AG11,0.05)*100</f>
        <v>20.07462065581407</v>
      </c>
      <c r="AK11" s="79">
        <f>NPV($F$15/100,$AG$4:AG11)+$AG$3</f>
        <v>69.05205642456218</v>
      </c>
      <c r="AL11" s="1"/>
      <c r="AM11" s="1"/>
      <c r="AN11" s="1"/>
      <c r="AO11" s="1"/>
      <c r="AP11" s="1"/>
      <c r="AQ11" s="1"/>
    </row>
    <row r="12" spans="1:43" ht="14.25" thickBot="1" thickTop="1">
      <c r="A12" s="172"/>
      <c r="B12" s="175"/>
      <c r="C12" s="176"/>
      <c r="D12" s="1"/>
      <c r="E12" s="26"/>
      <c r="F12" s="27"/>
      <c r="G12" s="27"/>
      <c r="H12" s="27"/>
      <c r="I12" s="15"/>
      <c r="J12" s="27"/>
      <c r="K12" s="47"/>
      <c r="L12" s="47"/>
      <c r="M12" s="47"/>
      <c r="N12" s="1"/>
      <c r="O12" s="45"/>
      <c r="P12" s="27"/>
      <c r="Q12" s="161"/>
      <c r="R12" s="162"/>
      <c r="S12" s="48"/>
      <c r="T12" s="1"/>
      <c r="U12" s="139"/>
      <c r="V12" s="139"/>
      <c r="W12" s="1"/>
      <c r="X12" s="1"/>
      <c r="Y12" s="1"/>
      <c r="Z12" s="1"/>
      <c r="AA12" s="1"/>
      <c r="AB12" s="1"/>
      <c r="AC12" s="142"/>
      <c r="AD12" s="143"/>
      <c r="AE12" s="138"/>
      <c r="AF12" s="3">
        <f t="shared" si="1"/>
        <v>9</v>
      </c>
      <c r="AG12" s="16">
        <f t="shared" si="2"/>
        <v>26.210000000000008</v>
      </c>
      <c r="AH12" s="16">
        <f t="shared" si="0"/>
        <v>16.89519969406847</v>
      </c>
      <c r="AI12" s="16">
        <f>SUM($AH$3:AH12)</f>
        <v>85.94725611863068</v>
      </c>
      <c r="AJ12" s="25">
        <f>IRR($AG$3:AG12,0.05)*100</f>
        <v>21.638534516559062</v>
      </c>
      <c r="AK12" s="79">
        <f>NPV($F$15/100,$AG$4:AG12)+$AG$3</f>
        <v>85.94725611863066</v>
      </c>
      <c r="AL12" s="1"/>
      <c r="AM12" s="1"/>
      <c r="AN12" s="1"/>
      <c r="AO12" s="1"/>
      <c r="AP12" s="1"/>
      <c r="AQ12" s="1"/>
    </row>
    <row r="13" spans="1:43" ht="18.75" thickTop="1">
      <c r="A13" s="31"/>
      <c r="B13" s="14"/>
      <c r="C13" s="1"/>
      <c r="D13" s="1"/>
      <c r="E13" s="1"/>
      <c r="F13" s="27"/>
      <c r="G13" s="27"/>
      <c r="H13" s="27"/>
      <c r="I13" s="15"/>
      <c r="J13" s="49"/>
      <c r="K13" s="27"/>
      <c r="L13" s="27"/>
      <c r="M13" s="27"/>
      <c r="N13" s="1"/>
      <c r="O13" s="45"/>
      <c r="P13" s="27"/>
      <c r="Q13" s="116">
        <f>U7/U14*100</f>
        <v>14.09139784946237</v>
      </c>
      <c r="R13" s="116"/>
      <c r="S13" s="48"/>
      <c r="T13" s="1"/>
      <c r="U13" s="1"/>
      <c r="V13" s="1"/>
      <c r="W13" s="1"/>
      <c r="X13" s="1"/>
      <c r="Y13" s="1"/>
      <c r="Z13" s="1"/>
      <c r="AA13" s="1"/>
      <c r="AB13" s="1"/>
      <c r="AC13" s="11"/>
      <c r="AD13" s="11"/>
      <c r="AE13" s="1"/>
      <c r="AF13" s="3">
        <f t="shared" si="1"/>
        <v>10</v>
      </c>
      <c r="AG13" s="16">
        <f t="shared" si="2"/>
        <v>26.210000000000008</v>
      </c>
      <c r="AH13" s="16">
        <f t="shared" si="0"/>
        <v>16.090666375303307</v>
      </c>
      <c r="AI13" s="16">
        <f>SUM($AH$3:AH13)</f>
        <v>102.03792249393399</v>
      </c>
      <c r="AJ13" s="25">
        <f>IRR($AG$3:AG13,0.05)*100</f>
        <v>22.757999038406616</v>
      </c>
      <c r="AK13" s="79">
        <f>NPV($F$15/100,$AG$4:AG13)+$AG$3</f>
        <v>102.03792249393393</v>
      </c>
      <c r="AL13" s="1"/>
      <c r="AM13" s="1"/>
      <c r="AN13" s="1"/>
      <c r="AO13" s="1"/>
      <c r="AP13" s="1"/>
      <c r="AQ13" s="1"/>
    </row>
    <row r="14" spans="1:43" ht="18.75" thickBot="1">
      <c r="A14" s="31"/>
      <c r="B14" s="15"/>
      <c r="C14" s="1"/>
      <c r="D14" s="1"/>
      <c r="E14" s="1"/>
      <c r="F14" s="27"/>
      <c r="G14" s="27"/>
      <c r="H14" s="27"/>
      <c r="I14" s="15"/>
      <c r="J14" s="1"/>
      <c r="K14" s="1"/>
      <c r="L14" s="1"/>
      <c r="M14" s="1"/>
      <c r="N14" s="1"/>
      <c r="O14" s="45"/>
      <c r="P14" s="1"/>
      <c r="Q14" s="1"/>
      <c r="R14" s="1"/>
      <c r="S14" s="48"/>
      <c r="T14" s="1"/>
      <c r="U14" s="124">
        <f>Y4</f>
        <v>186</v>
      </c>
      <c r="V14" s="124"/>
      <c r="W14" s="1"/>
      <c r="X14" s="1"/>
      <c r="Y14" s="1"/>
      <c r="Z14" s="1"/>
      <c r="AA14" s="1"/>
      <c r="AB14" s="1"/>
      <c r="AC14" s="11"/>
      <c r="AD14" s="11"/>
      <c r="AE14" s="1"/>
      <c r="AF14" s="3">
        <f t="shared" si="1"/>
        <v>11</v>
      </c>
      <c r="AG14" s="16">
        <f t="shared" si="2"/>
        <v>26.210000000000008</v>
      </c>
      <c r="AH14" s="16">
        <f t="shared" si="0"/>
        <v>15.324444166955528</v>
      </c>
      <c r="AI14" s="16">
        <f>SUM($AH$3:AH14)</f>
        <v>117.36236666088952</v>
      </c>
      <c r="AJ14" s="25">
        <f>IRR($AG$3:AG14,0.05)*100</f>
        <v>23.573360296397624</v>
      </c>
      <c r="AK14" s="79">
        <f>NPV($F$15/100,$AG$4:AG14)+$AG$3</f>
        <v>117.36236666088945</v>
      </c>
      <c r="AL14" s="1"/>
      <c r="AM14" s="1"/>
      <c r="AN14" s="1"/>
      <c r="AO14" s="1"/>
      <c r="AP14" s="1"/>
      <c r="AQ14" s="1"/>
    </row>
    <row r="15" spans="1:43" ht="14.25" thickBot="1" thickTop="1">
      <c r="A15" s="31"/>
      <c r="B15" s="15"/>
      <c r="C15" s="1"/>
      <c r="D15" s="1"/>
      <c r="E15" s="1"/>
      <c r="F15" s="133">
        <v>5</v>
      </c>
      <c r="G15" s="134"/>
      <c r="H15" s="27"/>
      <c r="I15" s="15"/>
      <c r="J15" s="1"/>
      <c r="K15" s="1"/>
      <c r="L15" s="1"/>
      <c r="M15" s="1"/>
      <c r="N15" s="1"/>
      <c r="O15" s="45"/>
      <c r="P15" s="1"/>
      <c r="Q15" s="1"/>
      <c r="R15" s="1"/>
      <c r="S15" s="48"/>
      <c r="T15" s="50"/>
      <c r="U15" s="111" t="s">
        <v>5</v>
      </c>
      <c r="V15" s="112"/>
      <c r="W15" s="1"/>
      <c r="X15" s="1"/>
      <c r="Y15" s="1"/>
      <c r="Z15" s="1"/>
      <c r="AA15" s="1"/>
      <c r="AB15" s="1"/>
      <c r="AC15" s="51"/>
      <c r="AD15" s="11"/>
      <c r="AE15" s="1"/>
      <c r="AF15" s="3">
        <f t="shared" si="1"/>
        <v>12</v>
      </c>
      <c r="AG15" s="16">
        <f t="shared" si="2"/>
        <v>26.210000000000008</v>
      </c>
      <c r="AH15" s="16">
        <f t="shared" si="0"/>
        <v>14.594708730433839</v>
      </c>
      <c r="AI15" s="16">
        <f>SUM($AH$3:AH15)</f>
        <v>131.95707539132337</v>
      </c>
      <c r="AJ15" s="25">
        <f>IRR($AG$3:AG15,0.05)*100</f>
        <v>24.175722874820295</v>
      </c>
      <c r="AK15" s="79">
        <f>NPV($F$15/100,$AG$4:AG15)+$AG$3</f>
        <v>131.9570753913233</v>
      </c>
      <c r="AL15" s="1"/>
      <c r="AM15" s="1"/>
      <c r="AN15" s="1"/>
      <c r="AO15" s="1"/>
      <c r="AP15" s="1"/>
      <c r="AQ15" s="1"/>
    </row>
    <row r="16" spans="1:43" ht="14.25" thickBot="1" thickTop="1">
      <c r="A16" s="31"/>
      <c r="B16" s="52"/>
      <c r="C16" s="1"/>
      <c r="D16" s="1"/>
      <c r="E16" s="1"/>
      <c r="F16" s="133"/>
      <c r="G16" s="135"/>
      <c r="H16" s="27"/>
      <c r="I16" s="15"/>
      <c r="J16" s="1"/>
      <c r="K16" s="1"/>
      <c r="L16" s="1"/>
      <c r="M16" s="1"/>
      <c r="N16" s="1"/>
      <c r="O16" s="45"/>
      <c r="P16" s="1"/>
      <c r="Q16" s="1"/>
      <c r="R16" s="1"/>
      <c r="S16" s="1"/>
      <c r="T16" s="1"/>
      <c r="U16" s="113"/>
      <c r="V16" s="114"/>
      <c r="W16" s="1"/>
      <c r="X16" s="1"/>
      <c r="Y16" s="1"/>
      <c r="Z16" s="1"/>
      <c r="AA16" s="1"/>
      <c r="AB16" s="1"/>
      <c r="AC16" s="11"/>
      <c r="AD16" s="11"/>
      <c r="AE16" s="1"/>
      <c r="AF16" s="3">
        <f t="shared" si="1"/>
        <v>13</v>
      </c>
      <c r="AG16" s="16">
        <f t="shared" si="2"/>
        <v>26.210000000000008</v>
      </c>
      <c r="AH16" s="16">
        <f t="shared" si="0"/>
        <v>13.899722600413178</v>
      </c>
      <c r="AI16" s="16">
        <f>SUM($AH$3:AH16)</f>
        <v>145.85679799173656</v>
      </c>
      <c r="AJ16" s="25">
        <f>IRR($AG$3:AG16,0.05)*100</f>
        <v>24.62596412877597</v>
      </c>
      <c r="AK16" s="79">
        <f>NPV($F$15/100,$AG$4:AG16)+$AG$3</f>
        <v>145.85679799173647</v>
      </c>
      <c r="AL16" s="1"/>
      <c r="AM16" s="1"/>
      <c r="AN16" s="1"/>
      <c r="AO16" s="1"/>
      <c r="AP16" s="1"/>
      <c r="AQ16" s="1"/>
    </row>
    <row r="17" spans="1:43" ht="16.5" customHeight="1" thickTop="1">
      <c r="A17" s="125">
        <f>A11/U30*100</f>
        <v>13.581833356170362</v>
      </c>
      <c r="B17" s="126" t="s">
        <v>34</v>
      </c>
      <c r="C17" s="127"/>
      <c r="D17" s="1"/>
      <c r="E17" s="53"/>
      <c r="F17" s="96" t="s">
        <v>27</v>
      </c>
      <c r="G17" s="98"/>
      <c r="H17" s="27"/>
      <c r="I17" s="15"/>
      <c r="J17" s="1"/>
      <c r="K17" s="125">
        <f>Q13*Q24</f>
        <v>26.118910300327613</v>
      </c>
      <c r="L17" s="136"/>
      <c r="M17" s="126" t="s">
        <v>35</v>
      </c>
      <c r="N17" s="127"/>
      <c r="O17" s="45"/>
      <c r="P17" s="1"/>
      <c r="Q17" s="110" t="s">
        <v>16</v>
      </c>
      <c r="R17" s="132"/>
      <c r="S17" s="1"/>
      <c r="T17" s="1"/>
      <c r="U17" s="1"/>
      <c r="V17" s="1"/>
      <c r="W17" s="1"/>
      <c r="X17" s="1"/>
      <c r="Y17" s="1"/>
      <c r="Z17" s="1"/>
      <c r="AA17" s="1"/>
      <c r="AB17" s="1"/>
      <c r="AC17" s="11"/>
      <c r="AD17" s="11"/>
      <c r="AE17" s="1"/>
      <c r="AF17" s="3">
        <f t="shared" si="1"/>
        <v>14</v>
      </c>
      <c r="AG17" s="16">
        <f t="shared" si="2"/>
        <v>26.210000000000008</v>
      </c>
      <c r="AH17" s="16">
        <f t="shared" si="0"/>
        <v>13.237831048012554</v>
      </c>
      <c r="AI17" s="16">
        <f>SUM($AH$3:AH17)</f>
        <v>159.09462903974912</v>
      </c>
      <c r="AJ17" s="25">
        <f>IRR($AG$3:AG17,0.05)*100</f>
        <v>24.965776310586936</v>
      </c>
      <c r="AK17" s="79">
        <f>NPV($F$15/100,$AG$4:AG17)+$AG$3</f>
        <v>159.094629039749</v>
      </c>
      <c r="AL17" s="1"/>
      <c r="AM17" s="1"/>
      <c r="AN17" s="1"/>
      <c r="AO17" s="1"/>
      <c r="AP17" s="1"/>
      <c r="AQ17" s="1"/>
    </row>
    <row r="18" spans="1:43" ht="15.75" customHeight="1" thickBot="1">
      <c r="A18" s="125"/>
      <c r="B18" s="128"/>
      <c r="C18" s="129"/>
      <c r="D18" s="1"/>
      <c r="E18" s="53"/>
      <c r="F18" s="99"/>
      <c r="G18" s="101"/>
      <c r="H18" s="27"/>
      <c r="I18" s="15"/>
      <c r="J18" s="1"/>
      <c r="K18" s="137"/>
      <c r="L18" s="136"/>
      <c r="M18" s="128"/>
      <c r="N18" s="129"/>
      <c r="O18" s="89"/>
      <c r="P18" s="1"/>
      <c r="Q18" s="132"/>
      <c r="R18" s="132"/>
      <c r="S18" s="1"/>
      <c r="T18" s="1"/>
      <c r="U18" s="1"/>
      <c r="V18" s="1"/>
      <c r="W18" s="1"/>
      <c r="X18" s="1"/>
      <c r="Y18" s="1"/>
      <c r="Z18" s="1">
        <v>1</v>
      </c>
      <c r="AA18" s="1"/>
      <c r="AB18" s="1"/>
      <c r="AC18" s="11"/>
      <c r="AD18" s="11"/>
      <c r="AE18" s="1"/>
      <c r="AF18" s="3">
        <f t="shared" si="1"/>
        <v>15</v>
      </c>
      <c r="AG18" s="16">
        <f t="shared" si="2"/>
        <v>26.210000000000008</v>
      </c>
      <c r="AH18" s="16">
        <f t="shared" si="0"/>
        <v>12.607458140964333</v>
      </c>
      <c r="AI18" s="16">
        <f>SUM($AH$3:AH18)</f>
        <v>171.70208718071345</v>
      </c>
      <c r="AJ18" s="25">
        <f>IRR($AG$3:AG18,0.05)*100</f>
        <v>25.22431852727457</v>
      </c>
      <c r="AK18" s="79">
        <f>NPV($F$15/100,$AG$4:AG18)+$AG$3</f>
        <v>171.7020871807133</v>
      </c>
      <c r="AL18" s="1"/>
      <c r="AM18" s="1"/>
      <c r="AN18" s="1"/>
      <c r="AO18" s="1"/>
      <c r="AP18" s="1"/>
      <c r="AQ18" s="1"/>
    </row>
    <row r="19" spans="1:43" ht="15.75" customHeight="1" thickTop="1">
      <c r="A19" s="125"/>
      <c r="B19" s="128"/>
      <c r="C19" s="129"/>
      <c r="D19" s="1"/>
      <c r="E19" s="53"/>
      <c r="F19" s="54"/>
      <c r="G19" s="27"/>
      <c r="H19" s="27"/>
      <c r="I19" s="15"/>
      <c r="J19" s="1"/>
      <c r="K19" s="137"/>
      <c r="L19" s="136"/>
      <c r="M19" s="128"/>
      <c r="N19" s="129"/>
      <c r="O19" s="90"/>
      <c r="P19" s="1"/>
      <c r="Q19" s="132"/>
      <c r="R19" s="132"/>
      <c r="S19" s="1"/>
      <c r="T19" s="1"/>
      <c r="U19" s="1"/>
      <c r="V19" s="1"/>
      <c r="W19" s="1"/>
      <c r="X19" s="1"/>
      <c r="Y19" s="1"/>
      <c r="Z19" s="1"/>
      <c r="AA19" s="1"/>
      <c r="AB19" s="1"/>
      <c r="AC19" s="11"/>
      <c r="AD19" s="11"/>
      <c r="AE19" s="1"/>
      <c r="AF19" s="3">
        <f t="shared" si="1"/>
        <v>16</v>
      </c>
      <c r="AG19" s="16">
        <f t="shared" si="2"/>
        <v>26.210000000000008</v>
      </c>
      <c r="AH19" s="16">
        <f t="shared" si="0"/>
        <v>12.007102991394603</v>
      </c>
      <c r="AI19" s="16">
        <f>SUM($AH$3:AH19)</f>
        <v>183.70919017210804</v>
      </c>
      <c r="AJ19" s="25">
        <f>IRR($AG$3:AG19,0.05)*100</f>
        <v>25.422354585440388</v>
      </c>
      <c r="AK19" s="79">
        <f>NPV($F$15/100,$AG$4:AG19)+$AG$3</f>
        <v>183.70919017210792</v>
      </c>
      <c r="AL19" s="1"/>
      <c r="AM19" s="1"/>
      <c r="AN19" s="1"/>
      <c r="AO19" s="1"/>
      <c r="AP19" s="1"/>
      <c r="AQ19" s="1"/>
    </row>
    <row r="20" spans="1:43" ht="16.5" customHeight="1" thickBot="1">
      <c r="A20" s="125"/>
      <c r="B20" s="130"/>
      <c r="C20" s="131"/>
      <c r="D20" s="1"/>
      <c r="E20" s="53"/>
      <c r="F20" s="55"/>
      <c r="G20" s="27"/>
      <c r="H20" s="27"/>
      <c r="I20" s="15"/>
      <c r="J20" s="1"/>
      <c r="K20" s="137"/>
      <c r="L20" s="136"/>
      <c r="M20" s="130"/>
      <c r="N20" s="131"/>
      <c r="O20" s="45"/>
      <c r="P20" s="1"/>
      <c r="Q20" s="132"/>
      <c r="R20" s="132"/>
      <c r="S20" s="1"/>
      <c r="T20" s="1"/>
      <c r="U20" s="1"/>
      <c r="V20" s="1"/>
      <c r="W20" s="1"/>
      <c r="X20" s="1"/>
      <c r="Y20" s="1"/>
      <c r="Z20" s="1"/>
      <c r="AA20" s="1"/>
      <c r="AB20" s="1"/>
      <c r="AC20" s="11"/>
      <c r="AD20" s="11"/>
      <c r="AE20" s="1"/>
      <c r="AF20" s="3">
        <f t="shared" si="1"/>
        <v>17</v>
      </c>
      <c r="AG20" s="16">
        <f t="shared" si="2"/>
        <v>26.210000000000008</v>
      </c>
      <c r="AH20" s="16">
        <f t="shared" si="0"/>
        <v>11.435336182280572</v>
      </c>
      <c r="AI20" s="16">
        <f>SUM($AH$3:AH20)</f>
        <v>195.1445263543886</v>
      </c>
      <c r="AJ20" s="25">
        <f>IRR($AG$3:AG20,0.05)*100</f>
        <v>25.574900494338255</v>
      </c>
      <c r="AK20" s="79">
        <f>NPV($F$15/100,$AG$4:AG20)+$AG$3</f>
        <v>195.14452635438852</v>
      </c>
      <c r="AL20" s="1"/>
      <c r="AM20" s="1"/>
      <c r="AN20" s="1"/>
      <c r="AO20" s="1"/>
      <c r="AP20" s="1"/>
      <c r="AQ20" s="1"/>
    </row>
    <row r="21" spans="1:43" ht="19.5" thickBot="1" thickTop="1">
      <c r="A21" s="31"/>
      <c r="B21" s="56"/>
      <c r="C21" s="1"/>
      <c r="D21" s="1"/>
      <c r="E21" s="1"/>
      <c r="F21" s="55"/>
      <c r="G21" s="27"/>
      <c r="H21" s="20"/>
      <c r="I21" s="10"/>
      <c r="J21" s="20"/>
      <c r="K21" s="20"/>
      <c r="L21" s="1"/>
      <c r="M21" s="193"/>
      <c r="N21" s="194"/>
      <c r="O21" s="45"/>
      <c r="P21" s="1"/>
      <c r="Q21" s="1"/>
      <c r="R21" s="1"/>
      <c r="S21" s="1"/>
      <c r="T21" s="57"/>
      <c r="U21" s="111" t="s">
        <v>5</v>
      </c>
      <c r="V21" s="112"/>
      <c r="W21" s="1"/>
      <c r="X21" s="1"/>
      <c r="Y21" s="1"/>
      <c r="Z21" s="1"/>
      <c r="AA21" s="1"/>
      <c r="AB21" s="1"/>
      <c r="AC21" s="11"/>
      <c r="AD21" s="11"/>
      <c r="AE21" s="1"/>
      <c r="AF21" s="3">
        <f t="shared" si="1"/>
        <v>18</v>
      </c>
      <c r="AG21" s="16">
        <f t="shared" si="2"/>
        <v>26.210000000000008</v>
      </c>
      <c r="AH21" s="16">
        <f t="shared" si="0"/>
        <v>10.890796364076737</v>
      </c>
      <c r="AI21" s="16">
        <f>SUM($AH$3:AH21)</f>
        <v>206.03532271846535</v>
      </c>
      <c r="AJ21" s="25">
        <f>IRR($AG$3:AG21,0.05)*100</f>
        <v>25.692961088616595</v>
      </c>
      <c r="AK21" s="79">
        <f>NPV($F$15/100,$AG$4:AG21)+$AG$3</f>
        <v>206.0353227184653</v>
      </c>
      <c r="AL21" s="1"/>
      <c r="AM21" s="1"/>
      <c r="AN21" s="1"/>
      <c r="AO21" s="1"/>
      <c r="AP21" s="1"/>
      <c r="AQ21" s="1"/>
    </row>
    <row r="22" spans="1:43" ht="15.75" customHeight="1" thickBot="1" thickTop="1">
      <c r="A22" s="31"/>
      <c r="B22" s="63"/>
      <c r="C22" s="1"/>
      <c r="D22" s="1"/>
      <c r="E22" s="1"/>
      <c r="F22" s="55"/>
      <c r="G22" s="15"/>
      <c r="H22" s="27"/>
      <c r="I22" s="27"/>
      <c r="J22" s="27"/>
      <c r="K22" s="60"/>
      <c r="L22" s="27"/>
      <c r="M22" s="1"/>
      <c r="N22" s="1"/>
      <c r="O22" s="45"/>
      <c r="P22" s="1"/>
      <c r="Q22" s="1"/>
      <c r="R22" s="1"/>
      <c r="S22" s="48"/>
      <c r="T22" s="1"/>
      <c r="U22" s="113"/>
      <c r="V22" s="114"/>
      <c r="W22" s="1"/>
      <c r="X22" s="1"/>
      <c r="Y22" s="1"/>
      <c r="Z22" s="1"/>
      <c r="AA22" s="1"/>
      <c r="AB22" s="1"/>
      <c r="AC22" s="11"/>
      <c r="AD22" s="11"/>
      <c r="AE22" s="1"/>
      <c r="AF22" s="3">
        <f t="shared" si="1"/>
        <v>19</v>
      </c>
      <c r="AG22" s="16">
        <f t="shared" si="2"/>
        <v>26.210000000000008</v>
      </c>
      <c r="AH22" s="16">
        <f t="shared" si="0"/>
        <v>10.372187013406416</v>
      </c>
      <c r="AI22" s="16">
        <f>SUM($AH$3:AH22)</f>
        <v>216.40750973187176</v>
      </c>
      <c r="AJ22" s="25">
        <f>IRR($AG$3:AG22,0.05)*100</f>
        <v>25.784694589189026</v>
      </c>
      <c r="AK22" s="79">
        <f>NPV($F$15/100,$AG$4:AG22)+$AG$3</f>
        <v>216.4075097318717</v>
      </c>
      <c r="AL22" s="1"/>
      <c r="AM22" s="1"/>
      <c r="AN22" s="1"/>
      <c r="AO22" s="1"/>
      <c r="AP22" s="1"/>
      <c r="AQ22" s="1"/>
    </row>
    <row r="23" spans="1:43" ht="19.5" customHeight="1" thickBot="1" thickTop="1">
      <c r="A23" s="31"/>
      <c r="B23" s="82"/>
      <c r="C23" s="125">
        <f>VLOOKUP(H30,AF3:AJ23,4)</f>
        <v>69.05205642456221</v>
      </c>
      <c r="D23" s="183"/>
      <c r="E23" s="184"/>
      <c r="F23" s="195" t="s">
        <v>23</v>
      </c>
      <c r="G23" s="196"/>
      <c r="H23" s="197"/>
      <c r="I23" s="87"/>
      <c r="J23" s="61"/>
      <c r="K23" s="177" t="s">
        <v>24</v>
      </c>
      <c r="L23" s="188"/>
      <c r="M23" s="189"/>
      <c r="N23" s="167">
        <f>VLOOKUP(H30,AF3:AJ23,5)</f>
        <v>20.07462065581407</v>
      </c>
      <c r="O23" s="45"/>
      <c r="P23" s="1"/>
      <c r="Q23" s="1"/>
      <c r="R23" s="1"/>
      <c r="S23" s="48"/>
      <c r="T23" s="1"/>
      <c r="U23" s="115">
        <f>Y4</f>
        <v>186</v>
      </c>
      <c r="V23" s="115"/>
      <c r="W23" s="1"/>
      <c r="X23" s="1"/>
      <c r="Y23" s="1"/>
      <c r="Z23" s="1"/>
      <c r="AA23" s="1"/>
      <c r="AB23" s="1"/>
      <c r="AC23" s="1"/>
      <c r="AD23" s="1"/>
      <c r="AE23" s="1"/>
      <c r="AF23" s="3">
        <f t="shared" si="1"/>
        <v>20</v>
      </c>
      <c r="AG23" s="16">
        <f t="shared" si="2"/>
        <v>26.210000000000008</v>
      </c>
      <c r="AH23" s="16">
        <f t="shared" si="0"/>
        <v>9.878273346101349</v>
      </c>
      <c r="AI23" s="16">
        <f>SUM($AH$3:AH23)</f>
        <v>226.2857830779731</v>
      </c>
      <c r="AJ23" s="25">
        <f>IRR($AG$3:AG23,0.05)*100</f>
        <v>25.85620905503546</v>
      </c>
      <c r="AK23" s="79">
        <f>NPV($F$15/100,$AG$4:AG23)+$AG$3</f>
        <v>226.285783077973</v>
      </c>
      <c r="AL23" s="1"/>
      <c r="AM23" s="1"/>
      <c r="AN23" s="1"/>
      <c r="AO23" s="1"/>
      <c r="AP23" s="1"/>
      <c r="AQ23" s="1"/>
    </row>
    <row r="24" spans="1:43" ht="19.5" customHeight="1" thickBot="1" thickTop="1">
      <c r="A24" s="31"/>
      <c r="B24" s="83"/>
      <c r="C24" s="183"/>
      <c r="D24" s="183"/>
      <c r="E24" s="184"/>
      <c r="F24" s="198"/>
      <c r="G24" s="199"/>
      <c r="H24" s="200"/>
      <c r="I24" s="62"/>
      <c r="J24" s="27"/>
      <c r="K24" s="190"/>
      <c r="L24" s="191"/>
      <c r="M24" s="192"/>
      <c r="N24" s="167"/>
      <c r="O24" s="45"/>
      <c r="P24" s="1"/>
      <c r="Q24" s="116">
        <f>U23/U30</f>
        <v>1.8535357939187085</v>
      </c>
      <c r="R24" s="116"/>
      <c r="S24" s="4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"/>
      <c r="AG24" s="16"/>
      <c r="AH24" s="16"/>
      <c r="AI24" s="16"/>
      <c r="AJ24" s="19"/>
      <c r="AK24" s="77"/>
      <c r="AL24" s="1"/>
      <c r="AM24" s="1"/>
      <c r="AN24" s="1"/>
      <c r="AO24" s="1"/>
      <c r="AP24" s="1"/>
      <c r="AQ24" s="1"/>
    </row>
    <row r="25" spans="1:43" ht="14.25" thickBot="1" thickTop="1">
      <c r="A25" s="31"/>
      <c r="B25" s="83"/>
      <c r="C25" s="1"/>
      <c r="D25" s="85"/>
      <c r="E25" s="85"/>
      <c r="F25" s="59"/>
      <c r="G25" s="58"/>
      <c r="H25" s="1"/>
      <c r="I25" s="55"/>
      <c r="J25" s="1"/>
      <c r="K25" s="1"/>
      <c r="L25" s="56"/>
      <c r="M25" s="1"/>
      <c r="N25" s="1"/>
      <c r="O25" s="45"/>
      <c r="P25" s="1"/>
      <c r="Q25" s="117" t="s">
        <v>14</v>
      </c>
      <c r="R25" s="118"/>
      <c r="S25" s="48"/>
      <c r="T25" s="1"/>
      <c r="U25" s="123" t="s">
        <v>15</v>
      </c>
      <c r="V25" s="123"/>
      <c r="W25" s="1"/>
      <c r="X25" s="1"/>
      <c r="Y25" s="1"/>
      <c r="Z25" s="1"/>
      <c r="AA25" s="1"/>
      <c r="AB25" s="63"/>
      <c r="AC25" s="102" t="s">
        <v>6</v>
      </c>
      <c r="AD25" s="103"/>
      <c r="AE25" s="95">
        <f>0.9*AE5/12</f>
        <v>9.75</v>
      </c>
      <c r="AF25" s="3"/>
      <c r="AG25" s="16"/>
      <c r="AH25" s="16"/>
      <c r="AI25" s="16"/>
      <c r="AJ25" s="19"/>
      <c r="AK25" s="77"/>
      <c r="AL25" s="1"/>
      <c r="AM25" s="1"/>
      <c r="AN25" s="1"/>
      <c r="AO25" s="1"/>
      <c r="AP25" s="1"/>
      <c r="AQ25" s="1"/>
    </row>
    <row r="26" spans="1:43" ht="14.25" thickBot="1" thickTop="1">
      <c r="A26" s="31"/>
      <c r="B26" s="83"/>
      <c r="C26" s="1"/>
      <c r="D26" s="86"/>
      <c r="E26" s="1"/>
      <c r="F26" s="27"/>
      <c r="G26" s="63"/>
      <c r="H26" s="1"/>
      <c r="I26" s="55"/>
      <c r="J26" s="1"/>
      <c r="K26" s="1"/>
      <c r="L26" s="58"/>
      <c r="M26" s="1"/>
      <c r="N26" s="1"/>
      <c r="O26" s="45"/>
      <c r="P26" s="43"/>
      <c r="Q26" s="119"/>
      <c r="R26" s="120"/>
      <c r="S26" s="64"/>
      <c r="T26" s="1"/>
      <c r="U26" s="123"/>
      <c r="V26" s="123"/>
      <c r="W26" s="1"/>
      <c r="X26" s="1"/>
      <c r="Y26" s="1"/>
      <c r="Z26" s="1"/>
      <c r="AA26" s="58"/>
      <c r="AB26" s="1"/>
      <c r="AC26" s="104"/>
      <c r="AD26" s="105"/>
      <c r="AE26" s="95"/>
      <c r="AF26" s="3"/>
      <c r="AG26" s="16"/>
      <c r="AH26" s="16"/>
      <c r="AI26" s="16"/>
      <c r="AJ26" s="19"/>
      <c r="AK26" s="77"/>
      <c r="AL26" s="1"/>
      <c r="AM26" s="1"/>
      <c r="AN26" s="1"/>
      <c r="AO26" s="1"/>
      <c r="AP26" s="1"/>
      <c r="AQ26" s="1"/>
    </row>
    <row r="27" spans="1:43" ht="14.25" customHeight="1" thickBot="1" thickTop="1">
      <c r="A27" s="31"/>
      <c r="B27" s="83"/>
      <c r="C27" s="177" t="s">
        <v>33</v>
      </c>
      <c r="D27" s="178"/>
      <c r="E27" s="1"/>
      <c r="F27" s="58"/>
      <c r="G27" s="1"/>
      <c r="H27" s="1"/>
      <c r="I27" s="59"/>
      <c r="J27" s="1"/>
      <c r="K27" s="1"/>
      <c r="L27" s="58"/>
      <c r="M27" s="1"/>
      <c r="N27" s="1"/>
      <c r="O27" s="1"/>
      <c r="P27" s="1"/>
      <c r="Q27" s="119"/>
      <c r="R27" s="120"/>
      <c r="S27" s="65"/>
      <c r="T27" s="1"/>
      <c r="U27" s="123"/>
      <c r="V27" s="123"/>
      <c r="W27" s="1"/>
      <c r="X27" s="1"/>
      <c r="Y27" s="1"/>
      <c r="Z27" s="1"/>
      <c r="AA27" s="58"/>
      <c r="AB27" s="1"/>
      <c r="AC27" s="34" t="s">
        <v>18</v>
      </c>
      <c r="AD27" s="35"/>
      <c r="AE27" s="1"/>
      <c r="AF27" s="3"/>
      <c r="AG27" s="16"/>
      <c r="AH27" s="16"/>
      <c r="AI27" s="16"/>
      <c r="AJ27" s="19"/>
      <c r="AK27" s="77"/>
      <c r="AL27" s="1"/>
      <c r="AM27" s="1"/>
      <c r="AN27" s="1"/>
      <c r="AO27" s="1"/>
      <c r="AP27" s="1"/>
      <c r="AQ27" s="1"/>
    </row>
    <row r="28" spans="1:43" ht="18" customHeight="1" thickBot="1" thickTop="1">
      <c r="A28" s="31"/>
      <c r="B28" s="88">
        <f>C23/U30+1</f>
        <v>1.688120743153873</v>
      </c>
      <c r="C28" s="179"/>
      <c r="D28" s="180"/>
      <c r="E28" s="1"/>
      <c r="F28" s="58"/>
      <c r="G28" s="1"/>
      <c r="H28" s="96" t="s">
        <v>26</v>
      </c>
      <c r="I28" s="97"/>
      <c r="J28" s="97"/>
      <c r="K28" s="98"/>
      <c r="L28" s="58"/>
      <c r="M28" s="1"/>
      <c r="N28" s="1"/>
      <c r="O28" s="1"/>
      <c r="P28" s="1"/>
      <c r="Q28" s="121"/>
      <c r="R28" s="122"/>
      <c r="S28" s="58"/>
      <c r="T28" s="1"/>
      <c r="U28" s="123"/>
      <c r="V28" s="123"/>
      <c r="W28" s="1"/>
      <c r="X28" s="63"/>
      <c r="Y28" s="91" t="s">
        <v>9</v>
      </c>
      <c r="Z28" s="92"/>
      <c r="AA28" s="66"/>
      <c r="AB28" s="67"/>
      <c r="AC28" s="91" t="s">
        <v>7</v>
      </c>
      <c r="AD28" s="92"/>
      <c r="AE28" s="95">
        <f>Y4/12</f>
        <v>15.5</v>
      </c>
      <c r="AF28" s="3"/>
      <c r="AG28" s="16"/>
      <c r="AH28" s="16"/>
      <c r="AI28" s="16"/>
      <c r="AJ28" s="19"/>
      <c r="AK28" s="77"/>
      <c r="AL28" s="1"/>
      <c r="AM28" s="1"/>
      <c r="AN28" s="1"/>
      <c r="AO28" s="1"/>
      <c r="AP28" s="1"/>
      <c r="AQ28" s="1"/>
    </row>
    <row r="29" spans="1:43" ht="14.25" thickBot="1" thickTop="1">
      <c r="A29" s="31"/>
      <c r="B29" s="83"/>
      <c r="C29" s="181"/>
      <c r="D29" s="182"/>
      <c r="E29" s="1"/>
      <c r="F29" s="58"/>
      <c r="G29" s="1"/>
      <c r="H29" s="99"/>
      <c r="I29" s="100"/>
      <c r="J29" s="100"/>
      <c r="K29" s="101"/>
      <c r="L29" s="58"/>
      <c r="M29" s="1"/>
      <c r="N29" s="1"/>
      <c r="O29" s="1"/>
      <c r="P29" s="1"/>
      <c r="Q29" s="1"/>
      <c r="R29" s="1"/>
      <c r="S29" s="58"/>
      <c r="T29" s="1"/>
      <c r="U29" s="1"/>
      <c r="V29" s="1"/>
      <c r="W29" s="58"/>
      <c r="X29" s="1"/>
      <c r="Y29" s="93"/>
      <c r="Z29" s="94"/>
      <c r="AA29" s="68"/>
      <c r="AB29" s="1"/>
      <c r="AC29" s="93"/>
      <c r="AD29" s="94"/>
      <c r="AE29" s="95"/>
      <c r="AF29" s="3"/>
      <c r="AG29" s="16"/>
      <c r="AH29" s="16"/>
      <c r="AI29" s="16"/>
      <c r="AJ29" s="19"/>
      <c r="AK29" s="77"/>
      <c r="AL29" s="1"/>
      <c r="AM29" s="1"/>
      <c r="AN29" s="1"/>
      <c r="AO29" s="1"/>
      <c r="AP29" s="1"/>
      <c r="AQ29" s="1"/>
    </row>
    <row r="30" spans="1:43" ht="24" customHeight="1" thickBot="1" thickTop="1">
      <c r="A30" s="31"/>
      <c r="B30" s="83"/>
      <c r="C30" s="84"/>
      <c r="D30" s="1"/>
      <c r="E30" s="1"/>
      <c r="F30" s="58"/>
      <c r="G30" s="1"/>
      <c r="H30" s="106">
        <v>8</v>
      </c>
      <c r="I30" s="165"/>
      <c r="J30" s="165"/>
      <c r="K30" s="165"/>
      <c r="L30" s="58"/>
      <c r="M30" s="1"/>
      <c r="N30" s="1"/>
      <c r="O30" s="1"/>
      <c r="P30" s="1"/>
      <c r="Q30" s="1"/>
      <c r="R30" s="1"/>
      <c r="S30" s="58"/>
      <c r="T30" s="1"/>
      <c r="U30" s="107">
        <f>SUM(Y30,Y33)</f>
        <v>100.34875</v>
      </c>
      <c r="V30" s="107"/>
      <c r="W30" s="58"/>
      <c r="X30" s="1"/>
      <c r="Y30" s="108">
        <f>SUM(AE25,AE28,AE31)</f>
        <v>37.348749999999995</v>
      </c>
      <c r="Z30" s="109"/>
      <c r="AA30" s="58"/>
      <c r="AB30" s="1"/>
      <c r="AC30" s="34" t="s">
        <v>18</v>
      </c>
      <c r="AD30" s="35"/>
      <c r="AE30" s="1"/>
      <c r="AF30" s="3"/>
      <c r="AG30" s="16"/>
      <c r="AH30" s="16"/>
      <c r="AI30" s="16"/>
      <c r="AJ30" s="19"/>
      <c r="AK30" s="77"/>
      <c r="AL30" s="1"/>
      <c r="AM30" s="1"/>
      <c r="AN30" s="1"/>
      <c r="AO30" s="1"/>
      <c r="AP30" s="1"/>
      <c r="AQ30" s="1"/>
    </row>
    <row r="31" spans="1:43" ht="14.25" thickBot="1" thickTop="1">
      <c r="A31" s="31"/>
      <c r="B31" s="71"/>
      <c r="C31" s="63"/>
      <c r="D31" s="67"/>
      <c r="E31" s="67"/>
      <c r="F31" s="63"/>
      <c r="G31" s="67"/>
      <c r="H31" s="67"/>
      <c r="I31" s="67"/>
      <c r="J31" s="67"/>
      <c r="K31" s="67"/>
      <c r="L31" s="63"/>
      <c r="M31" s="67"/>
      <c r="N31" s="67"/>
      <c r="O31" s="67"/>
      <c r="P31" s="67"/>
      <c r="Q31" s="67"/>
      <c r="R31" s="67"/>
      <c r="S31" s="63"/>
      <c r="T31" s="69"/>
      <c r="U31" s="91" t="s">
        <v>12</v>
      </c>
      <c r="V31" s="92"/>
      <c r="W31" s="70"/>
      <c r="X31" s="1"/>
      <c r="Y31" s="110" t="s">
        <v>18</v>
      </c>
      <c r="Z31" s="110"/>
      <c r="AA31" s="58"/>
      <c r="AB31" s="71"/>
      <c r="AC31" s="102" t="s">
        <v>8</v>
      </c>
      <c r="AD31" s="103"/>
      <c r="AE31" s="95">
        <f>(Y7-Y33)/8</f>
        <v>12.098749999999999</v>
      </c>
      <c r="AF31" s="3"/>
      <c r="AG31" s="16"/>
      <c r="AH31" s="16"/>
      <c r="AI31" s="16"/>
      <c r="AJ31" s="19"/>
      <c r="AK31" s="77"/>
      <c r="AL31" s="1"/>
      <c r="AM31" s="1"/>
      <c r="AN31" s="1"/>
      <c r="AO31" s="1"/>
      <c r="AP31" s="1"/>
      <c r="AQ31" s="1"/>
    </row>
    <row r="32" spans="1:43" ht="14.25" thickBot="1" thickTop="1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3"/>
      <c r="V32" s="94"/>
      <c r="W32" s="72"/>
      <c r="X32" s="1"/>
      <c r="Y32" s="110"/>
      <c r="Z32" s="110"/>
      <c r="AA32" s="1"/>
      <c r="AB32" s="1"/>
      <c r="AC32" s="104"/>
      <c r="AD32" s="105"/>
      <c r="AE32" s="95"/>
      <c r="AF32" s="3"/>
      <c r="AG32" s="16"/>
      <c r="AH32" s="16"/>
      <c r="AI32" s="16"/>
      <c r="AJ32" s="19"/>
      <c r="AK32" s="77"/>
      <c r="AL32" s="1"/>
      <c r="AM32" s="1"/>
      <c r="AN32" s="1"/>
      <c r="AO32" s="1"/>
      <c r="AP32" s="1"/>
      <c r="AQ32" s="1"/>
    </row>
    <row r="33" spans="1:43" ht="26.25" customHeight="1" thickBot="1" thickTop="1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8"/>
      <c r="X33" s="1"/>
      <c r="Y33" s="106">
        <v>63</v>
      </c>
      <c r="Z33" s="106"/>
      <c r="AA33" s="1"/>
      <c r="AB33" s="1"/>
      <c r="AC33" s="1"/>
      <c r="AD33" s="1"/>
      <c r="AE33" s="1"/>
      <c r="AF33" s="3"/>
      <c r="AG33" s="16"/>
      <c r="AH33" s="16"/>
      <c r="AI33" s="16"/>
      <c r="AJ33" s="19"/>
      <c r="AK33" s="77"/>
      <c r="AL33" s="1"/>
      <c r="AM33" s="1"/>
      <c r="AN33" s="1"/>
      <c r="AO33" s="1"/>
      <c r="AP33" s="1"/>
      <c r="AQ33" s="1"/>
    </row>
    <row r="34" spans="1:43" ht="14.25" thickBot="1" thickTop="1">
      <c r="A34" s="31"/>
      <c r="B34" s="1"/>
      <c r="J34" s="73"/>
      <c r="S34" s="1"/>
      <c r="T34" s="1"/>
      <c r="U34" s="1"/>
      <c r="V34" s="1"/>
      <c r="W34" s="58"/>
      <c r="X34" s="69"/>
      <c r="Y34" s="91" t="s">
        <v>10</v>
      </c>
      <c r="Z34" s="92"/>
      <c r="AA34" s="11"/>
      <c r="AB34" s="1"/>
      <c r="AC34" s="1"/>
      <c r="AD34" s="1"/>
      <c r="AE34" s="1"/>
      <c r="AF34" s="3"/>
      <c r="AG34" s="16"/>
      <c r="AH34" s="16"/>
      <c r="AI34" s="16"/>
      <c r="AJ34" s="19"/>
      <c r="AK34" s="77"/>
      <c r="AL34" s="1"/>
      <c r="AM34" s="1"/>
      <c r="AN34" s="1"/>
      <c r="AO34" s="1"/>
      <c r="AP34" s="1"/>
      <c r="AQ34" s="1"/>
    </row>
    <row r="35" spans="1:43" ht="14.25" thickBot="1" thickTop="1">
      <c r="A35" s="31"/>
      <c r="B35" s="1"/>
      <c r="S35" s="1"/>
      <c r="T35" s="1"/>
      <c r="U35" s="1"/>
      <c r="V35" s="1"/>
      <c r="W35" s="1"/>
      <c r="X35" s="1"/>
      <c r="Y35" s="93"/>
      <c r="Z35" s="94"/>
      <c r="AA35" s="11"/>
      <c r="AB35" s="1"/>
      <c r="AC35" s="1"/>
      <c r="AD35" s="1"/>
      <c r="AE35" s="1"/>
      <c r="AF35" s="3"/>
      <c r="AG35" s="16"/>
      <c r="AH35" s="16"/>
      <c r="AI35" s="16"/>
      <c r="AJ35" s="19"/>
      <c r="AK35" s="77"/>
      <c r="AL35" s="1"/>
      <c r="AM35" s="1"/>
      <c r="AN35" s="1"/>
      <c r="AO35" s="1"/>
      <c r="AP35" s="1"/>
      <c r="AQ35" s="1"/>
    </row>
    <row r="36" spans="1:43" ht="13.5" thickTop="1">
      <c r="A36" s="31"/>
      <c r="B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16"/>
      <c r="AH36" s="16"/>
      <c r="AI36" s="16"/>
      <c r="AJ36" s="19"/>
      <c r="AK36" s="77"/>
      <c r="AL36" s="1"/>
      <c r="AM36" s="1"/>
      <c r="AN36" s="1"/>
      <c r="AO36" s="1"/>
      <c r="AP36" s="1"/>
      <c r="AQ36" s="1"/>
    </row>
    <row r="37" spans="1:43" ht="18">
      <c r="A37" s="31"/>
      <c r="B37" s="1"/>
      <c r="S37" s="1"/>
      <c r="T37" s="1"/>
      <c r="U37" s="7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16"/>
      <c r="AH37" s="16"/>
      <c r="AI37" s="16"/>
      <c r="AJ37" s="19"/>
      <c r="AK37" s="77"/>
      <c r="AL37" s="1"/>
      <c r="AM37" s="1"/>
      <c r="AN37" s="1"/>
      <c r="AO37" s="1"/>
      <c r="AP37" s="1"/>
      <c r="AQ37" s="1"/>
    </row>
    <row r="38" spans="1:43" ht="12.75">
      <c r="A38" s="31"/>
      <c r="B38" s="1"/>
      <c r="J38" s="75"/>
      <c r="K38" s="75"/>
      <c r="L38" s="75"/>
      <c r="M38" s="75"/>
      <c r="N38" s="75"/>
      <c r="S38" s="1"/>
      <c r="T38" s="1"/>
      <c r="U38" s="1"/>
      <c r="V38" s="1"/>
      <c r="W38" s="1"/>
      <c r="X38" s="1"/>
      <c r="Y38" s="47"/>
      <c r="Z38" s="47"/>
      <c r="AA38" s="47"/>
      <c r="AB38" s="47"/>
      <c r="AC38" s="47"/>
      <c r="AD38" s="1"/>
      <c r="AE38" s="1"/>
      <c r="AF38" s="3"/>
      <c r="AG38" s="16"/>
      <c r="AH38" s="16"/>
      <c r="AI38" s="16"/>
      <c r="AJ38" s="19"/>
      <c r="AK38" s="77"/>
      <c r="AL38" s="1"/>
      <c r="AM38" s="1"/>
      <c r="AN38" s="1"/>
      <c r="AO38" s="1"/>
      <c r="AP38" s="1"/>
      <c r="AQ38" s="1"/>
    </row>
    <row r="39" spans="1:43" ht="18">
      <c r="A39" s="31"/>
      <c r="B39" s="1"/>
      <c r="S39" s="1"/>
      <c r="T39" s="1"/>
      <c r="U39" s="1"/>
      <c r="V39" s="1"/>
      <c r="W39" s="1"/>
      <c r="X39" s="74" t="s">
        <v>31</v>
      </c>
      <c r="Y39" s="1"/>
      <c r="Z39" s="1"/>
      <c r="AA39" s="1"/>
      <c r="AB39" s="1"/>
      <c r="AC39" s="1"/>
      <c r="AD39" s="1"/>
      <c r="AE39" s="1"/>
      <c r="AF39" s="3"/>
      <c r="AG39" s="16"/>
      <c r="AH39" s="16"/>
      <c r="AI39" s="16"/>
      <c r="AJ39" s="19"/>
      <c r="AK39" s="77"/>
      <c r="AL39" s="1"/>
      <c r="AM39" s="1"/>
      <c r="AN39" s="1"/>
      <c r="AO39" s="1"/>
      <c r="AP39" s="1"/>
      <c r="AQ39" s="1"/>
    </row>
    <row r="40" spans="1:43" ht="12.75">
      <c r="A40" s="31"/>
      <c r="B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16"/>
      <c r="AH40" s="16"/>
      <c r="AI40" s="16"/>
      <c r="AJ40" s="19"/>
      <c r="AK40" s="77"/>
      <c r="AL40" s="1"/>
      <c r="AM40" s="1"/>
      <c r="AN40" s="1"/>
      <c r="AO40" s="1"/>
      <c r="AP40" s="1"/>
      <c r="AQ40" s="1"/>
    </row>
    <row r="41" spans="1:43" ht="12.75">
      <c r="A41" s="31"/>
      <c r="B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"/>
      <c r="AG41" s="16"/>
      <c r="AH41" s="16"/>
      <c r="AI41" s="16"/>
      <c r="AJ41" s="19"/>
      <c r="AK41" s="77"/>
      <c r="AL41" s="1"/>
      <c r="AM41" s="1"/>
      <c r="AN41" s="1"/>
      <c r="AO41" s="1"/>
      <c r="AP41" s="1"/>
      <c r="AQ41" s="1"/>
    </row>
    <row r="42" spans="1:43" ht="12.75">
      <c r="A42" s="31"/>
      <c r="B42" s="7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  <c r="AK42" s="77"/>
      <c r="AL42" s="1"/>
      <c r="AM42" s="1"/>
      <c r="AN42" s="1"/>
      <c r="AO42" s="1"/>
      <c r="AP42" s="1"/>
      <c r="AQ42" s="1"/>
    </row>
    <row r="43" spans="1:43" ht="12.75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K43" s="77"/>
      <c r="AL43" s="1"/>
      <c r="AM43" s="1"/>
      <c r="AN43" s="1"/>
      <c r="AO43" s="1"/>
      <c r="AP43" s="1"/>
      <c r="AQ43" s="1"/>
    </row>
    <row r="44" spans="1:43" ht="12.75">
      <c r="A44" s="3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K44" s="77"/>
      <c r="AL44" s="1"/>
      <c r="AM44" s="1"/>
      <c r="AN44" s="1"/>
      <c r="AO44" s="1"/>
      <c r="AP44" s="1"/>
      <c r="AQ44" s="1"/>
    </row>
    <row r="45" spans="1:43" ht="12.75">
      <c r="A45" s="3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K45" s="77"/>
      <c r="AL45" s="1"/>
      <c r="AM45" s="1"/>
      <c r="AN45" s="1"/>
      <c r="AO45" s="1"/>
      <c r="AP45" s="1"/>
      <c r="AQ45" s="1"/>
    </row>
    <row r="46" spans="1:43" ht="12.7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K46" s="77"/>
      <c r="AL46" s="1"/>
      <c r="AM46" s="1"/>
      <c r="AN46" s="1"/>
      <c r="AO46" s="1"/>
      <c r="AP46" s="1"/>
      <c r="AQ46" s="1"/>
    </row>
    <row r="47" spans="1:43" ht="12.75">
      <c r="A47" s="3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K47" s="77"/>
      <c r="AL47" s="1"/>
      <c r="AM47" s="1"/>
      <c r="AN47" s="1"/>
      <c r="AO47" s="1"/>
      <c r="AP47" s="1"/>
      <c r="AQ47" s="1"/>
    </row>
    <row r="48" spans="1:43" ht="12.75">
      <c r="A48" s="3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K48" s="77"/>
      <c r="AL48" s="1"/>
      <c r="AM48" s="1"/>
      <c r="AN48" s="1"/>
      <c r="AO48" s="1"/>
      <c r="AP48" s="1"/>
      <c r="AQ48" s="1"/>
    </row>
    <row r="49" spans="1:43" ht="12.75">
      <c r="A49" s="3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K49" s="77"/>
      <c r="AL49" s="1"/>
      <c r="AM49" s="1"/>
      <c r="AN49" s="1"/>
      <c r="AO49" s="1"/>
      <c r="AP49" s="1"/>
      <c r="AQ49" s="1"/>
    </row>
    <row r="50" spans="1:43" ht="12.75">
      <c r="A50" s="3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K50" s="77"/>
      <c r="AL50" s="1"/>
      <c r="AM50" s="1"/>
      <c r="AN50" s="1"/>
      <c r="AO50" s="1"/>
      <c r="AP50" s="1"/>
      <c r="AQ50" s="1"/>
    </row>
    <row r="51" spans="1:43" ht="12.75">
      <c r="A51" s="3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K51" s="77"/>
      <c r="AL51" s="1"/>
      <c r="AM51" s="1"/>
      <c r="AN51" s="1"/>
      <c r="AO51" s="1"/>
      <c r="AP51" s="1"/>
      <c r="AQ51" s="1"/>
    </row>
    <row r="52" spans="1:43" ht="12.75">
      <c r="A52" s="3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K52" s="77"/>
      <c r="AL52" s="1"/>
      <c r="AM52" s="1"/>
      <c r="AN52" s="1"/>
      <c r="AO52" s="1"/>
      <c r="AP52" s="1"/>
      <c r="AQ52" s="1"/>
    </row>
    <row r="53" spans="1:43" ht="12.75">
      <c r="A53" s="3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K53" s="77"/>
      <c r="AL53" s="1"/>
      <c r="AM53" s="1"/>
      <c r="AN53" s="1"/>
      <c r="AO53" s="1"/>
      <c r="AP53" s="1"/>
      <c r="AQ53" s="1"/>
    </row>
    <row r="54" spans="1:43" ht="12.75">
      <c r="A54" s="3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K54" s="77"/>
      <c r="AL54" s="1"/>
      <c r="AM54" s="1"/>
      <c r="AN54" s="1"/>
      <c r="AO54" s="1"/>
      <c r="AP54" s="1"/>
      <c r="AQ54" s="1"/>
    </row>
    <row r="55" spans="1:43" ht="12.75">
      <c r="A55" s="3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K55" s="77"/>
      <c r="AL55" s="1"/>
      <c r="AM55" s="1"/>
      <c r="AN55" s="1"/>
      <c r="AO55" s="1"/>
      <c r="AP55" s="1"/>
      <c r="AQ55" s="1"/>
    </row>
    <row r="56" spans="1:43" ht="12.75">
      <c r="A56" s="3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K56" s="77"/>
      <c r="AL56" s="1"/>
      <c r="AM56" s="1"/>
      <c r="AN56" s="1"/>
      <c r="AO56" s="1"/>
      <c r="AP56" s="1"/>
      <c r="AQ56" s="1"/>
    </row>
    <row r="57" spans="1:43" ht="12.75">
      <c r="A57" s="3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K57" s="77"/>
      <c r="AL57" s="1"/>
      <c r="AM57" s="1"/>
      <c r="AN57" s="1"/>
      <c r="AO57" s="1"/>
      <c r="AP57" s="1"/>
      <c r="AQ57" s="1"/>
    </row>
    <row r="58" spans="1:43" ht="12.75">
      <c r="A58" s="3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K58" s="77"/>
      <c r="AL58" s="1"/>
      <c r="AM58" s="1"/>
      <c r="AN58" s="1"/>
      <c r="AO58" s="1"/>
      <c r="AP58" s="1"/>
      <c r="AQ58" s="1"/>
    </row>
    <row r="59" spans="1:43" ht="12.75">
      <c r="A59" s="3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K59" s="77"/>
      <c r="AL59" s="1"/>
      <c r="AM59" s="1"/>
      <c r="AN59" s="1"/>
      <c r="AO59" s="1"/>
      <c r="AP59" s="1"/>
      <c r="AQ59" s="1"/>
    </row>
    <row r="60" spans="1:43" ht="12.75">
      <c r="A60" s="3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K60" s="77"/>
      <c r="AL60" s="1"/>
      <c r="AM60" s="1"/>
      <c r="AN60" s="1"/>
      <c r="AO60" s="1"/>
      <c r="AP60" s="1"/>
      <c r="AQ60" s="1"/>
    </row>
  </sheetData>
  <sheetProtection password="C52A" sheet="1" objects="1" scenarios="1"/>
  <mergeCells count="58">
    <mergeCell ref="H2:I3"/>
    <mergeCell ref="K23:M24"/>
    <mergeCell ref="M21:N21"/>
    <mergeCell ref="F23:H24"/>
    <mergeCell ref="J2:K3"/>
    <mergeCell ref="H30:K30"/>
    <mergeCell ref="A5:A6"/>
    <mergeCell ref="N23:N24"/>
    <mergeCell ref="B5:C6"/>
    <mergeCell ref="A11:A12"/>
    <mergeCell ref="B11:C12"/>
    <mergeCell ref="C27:D29"/>
    <mergeCell ref="C23:E24"/>
    <mergeCell ref="Q9:R12"/>
    <mergeCell ref="Q13:R13"/>
    <mergeCell ref="U7:V7"/>
    <mergeCell ref="Y7:Z7"/>
    <mergeCell ref="Y8:Z9"/>
    <mergeCell ref="Q2:R3"/>
    <mergeCell ref="Y2:Z3"/>
    <mergeCell ref="Y4:Z4"/>
    <mergeCell ref="AE5:AE6"/>
    <mergeCell ref="U5:V6"/>
    <mergeCell ref="Y5:Z6"/>
    <mergeCell ref="AC5:AD6"/>
    <mergeCell ref="AE8:AE9"/>
    <mergeCell ref="U9:V12"/>
    <mergeCell ref="AC11:AD12"/>
    <mergeCell ref="AE11:AE12"/>
    <mergeCell ref="AC8:AD9"/>
    <mergeCell ref="U14:V14"/>
    <mergeCell ref="U15:V16"/>
    <mergeCell ref="A17:A20"/>
    <mergeCell ref="B17:C20"/>
    <mergeCell ref="M17:N20"/>
    <mergeCell ref="Q17:R20"/>
    <mergeCell ref="F17:G18"/>
    <mergeCell ref="F15:G16"/>
    <mergeCell ref="K17:L20"/>
    <mergeCell ref="U21:V22"/>
    <mergeCell ref="U23:V23"/>
    <mergeCell ref="Q24:R24"/>
    <mergeCell ref="Q25:R28"/>
    <mergeCell ref="U25:V28"/>
    <mergeCell ref="Y33:Z33"/>
    <mergeCell ref="Y34:Z35"/>
    <mergeCell ref="U30:V30"/>
    <mergeCell ref="Y30:Z30"/>
    <mergeCell ref="U31:V32"/>
    <mergeCell ref="Y31:Z32"/>
    <mergeCell ref="AC31:AD32"/>
    <mergeCell ref="AE31:AE32"/>
    <mergeCell ref="AC25:AD26"/>
    <mergeCell ref="AE25:AE26"/>
    <mergeCell ref="Y28:Z29"/>
    <mergeCell ref="AC28:AD29"/>
    <mergeCell ref="AE28:AE29"/>
    <mergeCell ref="H28:K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2005-10-20T10:44:42Z</dcterms:created>
  <dcterms:modified xsi:type="dcterms:W3CDTF">2009-03-16T19:07:11Z</dcterms:modified>
  <cp:category/>
  <cp:version/>
  <cp:contentType/>
  <cp:contentStatus/>
</cp:coreProperties>
</file>