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45" windowWidth="9540" windowHeight="13170" activeTab="0"/>
  </bookViews>
  <sheets>
    <sheet name="RANGE" sheetId="1" r:id="rId1"/>
  </sheets>
  <definedNames>
    <definedName name="AC">"(ACCELERATED  SCHEDULE)"</definedName>
    <definedName name="AD">"(ADVANCED  SCHEDULE)"</definedName>
    <definedName name="AG">('RANGE'!$E$32-'RANGE'!$E$27-'RANGE'!$E$28-'RANGE'!$E$29-'RANGE'!$E$30)/'RANGE'!$E$25*('RANGE'!$E$64-'RANGE'!$E$62)/'RANGE'!$E$32*'RANGE'!$E$68/'RANGE'!$E$64</definedName>
    <definedName name="AM">100*(('RANGE'!#REF!+1)/('RANGE'!#REF!+1)-1)</definedName>
    <definedName name="B">IF('RANGE'!$D$100=" ",'RANGE'!$E$100,'RANGE'!$D$100)</definedName>
    <definedName name="B_1">IF('RANGE'!$D$88=" ",'RANGE'!$E$88,'RANGE'!$D$88)</definedName>
    <definedName name="B_2">IF('RANGE'!$D$89=" ",'RANGE'!$E$89,'RANGE'!$D$89)</definedName>
    <definedName name="CE">"(COST  EFFECTIVE  SCHEDULE)"</definedName>
    <definedName name="CF">COMF</definedName>
    <definedName name="CO">'RANGE'!$E$10*('RANGE'!$D$48/100+1)*(1+'RANGE'!$E$55/'RANGE'!$E$54)+(LA9+FM_9)*B/100+(WM8+'RANGE'!$E$62)*IF('RANGE'!$D$101=" ",'RANGE'!$E$101,'RANGE'!$D$101)/100</definedName>
    <definedName name="COMF">IF('RANGE'!#REF!=" ",'RANGE'!#REF!,'RANGE'!#REF!)</definedName>
    <definedName name="COMP">(IF(DMC&gt;'RANGE'!#REF!,'RANGE'!#REF!,DMC)-DSTART)/('RANGE'!#REF!-DSTART)</definedName>
    <definedName name="CONST">INDEX('RANGE'!$C$163:$C$163,MATCH('RANGE'!$E$68/1000,'RANGE'!$D$163:$D$163,1),1,1)+2</definedName>
    <definedName name="D_1">IF('RANGE'!$D$96=" ",'RANGE'!$E$96,'RANGE'!$D$96)</definedName>
    <definedName name="D_2">IF('RANGE'!$D$97=" ",'RANGE'!$E$97,'RANGE'!$D$97)</definedName>
    <definedName name="DIFF">IF('RANGE'!#REF!=" ",'RANGE'!#REF!,'RANGE'!#REF!)</definedName>
    <definedName name="DMC">IF('RANGE'!#REF!=" ",'RANGE'!#REF!,DATE(YEAR('RANGE'!#REF!),MONTH('RANGE'!#REF!)+1,1)-1)</definedName>
    <definedName name="DSTART">IF('RANGE'!$K$163=" ",DATE(YEAR('RANGE'!$L$163),MONTH('RANGE'!$L$163)+1,1)-1,'RANGE'!$K$163)</definedName>
    <definedName name="E_4">IF('RANGE'!$D$76=" ",'RANGE'!$E$76,'RANGE'!$D$76)</definedName>
    <definedName name="EEG">('RANGE'!$E$25-'RANGE'!$E$19-'RANGE'!$E$20-'RANGE'!$E$21-'RANGE'!$E$23)/'RANGE'!$E$13*('RANGE'!$E$32-'RANGE'!$E$27-'RANGE'!$E$28-'RANGE'!$E$29-'RANGE'!$E$30)/'RANGE'!$E$25*('RANGE'!$E$64-'RANGE'!$E$62)/'RANGE'!$E$32*'RANGE'!$E$68/'RANGE'!$E$64</definedName>
    <definedName name="EF">IF('RANGE'!$D$83=" ",'RANGE'!$E$83,'RANGE'!$D$83)</definedName>
    <definedName name="EL">IF('RANGE'!$D$82=" ",'RANGE'!$E$82,'RANGE'!$D$82)</definedName>
    <definedName name="ER">"(EMERGENCY  RESORATION  SCHEDULE)"</definedName>
    <definedName name="EX">"(EXPEDITED  SCHEDULE)"</definedName>
    <definedName name="FELMO">IF('RANGE'!#REF!=" ",'RANGE'!#REF!,'RANGE'!#REF!)</definedName>
    <definedName name="FELR">IF('RANGE'!#REF!=" ",'RANGE'!#REF!,'RANGE'!#REF!)</definedName>
    <definedName name="FM_1">(X/100+(1-E_4/100)*Z/100*(X/100+1)*(Y/100+1))*'RANGE'!$E$7+('RANGE'!$E$7+'RANGE'!$E$10)*PF/100*(1-SF/100)</definedName>
    <definedName name="FM_10">FM_9*(100-B)/100</definedName>
    <definedName name="FM_2">FM_1+U/100*('RANGE'!$E$15+'RANGE'!$E$19)+I_1/100*('RANGE'!$E$16+'RANGE'!$E$20)+EF/100*('RANGE'!$E$17+'RANGE'!$E$21)+(I_1+EF)/2/100*'RANGE'!$E$22</definedName>
    <definedName name="FM_3">FM_2+Q_2/100*'RANGE'!$E$27+O_2/100*'RANGE'!$E$28+B_2/100*'RANGE'!$E$29+P_2/100*'RANGE'!$E$30</definedName>
    <definedName name="FM_4">FM_3+M_2/100*'RANGE'!$E$34+R_2/100*'RANGE'!$E$35+D_2/100*'RANGE'!$E$36</definedName>
    <definedName name="FM_5">FM_4+'RANGE'!$D$44/100*(FM_4)*FM_4/(FM_4)+'RANGE'!$E$45*0.3</definedName>
    <definedName name="FM_6">FM_5*('RANGE'!$D$48/100+1)</definedName>
    <definedName name="FM_7">FM_6+G_2/100*'RANGE'!$E$52</definedName>
    <definedName name="FM_8">FM_7*(1+'RANGE'!$E$55/'RANGE'!$E$54)</definedName>
    <definedName name="FM_9">FM_8+'RANGE'!$E$66*FM_8/(LA8+FM_8)</definedName>
    <definedName name="G_1">IF('RANGE'!$D$98=" ",'RANGE'!$E$98,'RANGE'!$D$98)</definedName>
    <definedName name="G_2">IF('RANGE'!$D$99=" ",'RANGE'!$E$99,'RANGE'!$D$99)</definedName>
    <definedName name="I_1">IF('RANGE'!$D$81=" ",'RANGE'!$E$81,'RANGE'!$D$81)</definedName>
    <definedName name="IL">IF('RANGE'!$D$80=" ",'RANGE'!$E$80,'RANGE'!$D$80)</definedName>
    <definedName name="IPG">('RANGE'!$E$32-'RANGE'!$E$27-'RANGE'!$E$28-'RANGE'!$E$29-'RANGE'!$E$30)/'RANGE'!$E$25*('RANGE'!$E$64-'RANGE'!$E$62)/'RANGE'!$E$32*'RANGE'!$E$68/'RANGE'!$E$64</definedName>
    <definedName name="LA1">(Y/100*(X/100+1)+E_4/100*Z/100*(X/100+1)*(Y/100+1))*'RANGE'!$E$7+('RANGE'!$E$7+'RANGE'!$E$10)*PF/100*SF/100</definedName>
    <definedName name="LA10">LA9*(100-B)/100</definedName>
    <definedName name="LA2">LA1+S/100*('RANGE'!$E$15+'RANGE'!$E$19)+IL/100*('RANGE'!$E$16+'RANGE'!$E$20)+EL/100*('RANGE'!$E$17+'RANGE'!$E$21)+(IL+EL)/2/100*'RANGE'!$E$22</definedName>
    <definedName name="LA3">LA2+Q_1/100*'RANGE'!$E$27+O_1/100*'RANGE'!$E$28+B_1/100*'RANGE'!$E$29+P_1/100*'RANGE'!$E$30</definedName>
    <definedName name="LA4">LA3+M_1/100*'RANGE'!$E$34+R_1/100*'RANGE'!$E$35+D_1/100*'RANGE'!$E$36</definedName>
    <definedName name="LA5">LA4+'RANGE'!$E$43+'RANGE'!$E$45*0.7</definedName>
    <definedName name="LA6">LA5*('RANGE'!$D$48/100+1)</definedName>
    <definedName name="LA7">LA6+G_1/100*'RANGE'!$E$52+'RANGE'!$E$51</definedName>
    <definedName name="LA8">LA7*(1+'RANGE'!$E$55/'RANGE'!$E$54)</definedName>
    <definedName name="LA9">LA8+'RANGE'!$E$66*LA8/(LA8+FM_8)</definedName>
    <definedName name="M_1">IF('RANGE'!$D$92=" ",'RANGE'!$E$92,'RANGE'!$D$92)</definedName>
    <definedName name="M_2">IF('RANGE'!$D$93=" ",'RANGE'!$E$93,'RANGE'!$D$93)</definedName>
    <definedName name="MC">MPC+0.37*(CONST-'RANGE'!#REF!)*365/12</definedName>
    <definedName name="MFELP">IF('RANGE'!#REF!=" ",'RANGE'!#REF!,'RANGE'!#REF!)</definedName>
    <definedName name="MPC">IF(YN="N",'RANGE'!#REF!,DSTART+'RANGE'!#REF!*365/12+PE*365/12+CONST*365/12-0.37*(CONST-'RANGE'!#REF!)*365/12)</definedName>
    <definedName name="O_1">IF('RANGE'!$D$86=" ",'RANGE'!$E$86,'RANGE'!$D$86)</definedName>
    <definedName name="O_2">IF('RANGE'!$D$87=" ",'RANGE'!$E$87,'RANGE'!$D$87)</definedName>
    <definedName name="P_1">IF('RANGE'!$D$90=" ",'RANGE'!$E$90,'RANGE'!$D$90)</definedName>
    <definedName name="P_2">IF('RANGE'!$D$91=" ",'RANGE'!$E$91,'RANGE'!$D$91)</definedName>
    <definedName name="PDELTA">IF('RANGE'!#REF!=" ",'RANGE'!#REF!,'RANGE'!#REF!)</definedName>
    <definedName name="PE">INDEX('RANGE'!$C$163:$C$163,MATCH('RANGE'!$E$68/1000,'RANGE'!#REF!,1),1,1)</definedName>
    <definedName name="PEAMT">'RANGE'!$E$59*0.1*2</definedName>
    <definedName name="PF">IF('RANGE'!$K$80=" ",'RANGE'!$L$80,'RANGE'!$K$80)</definedName>
    <definedName name="Q_1">IF('RANGE'!$D$84=" ",'RANGE'!$E$84,'RANGE'!$D$84)</definedName>
    <definedName name="Q_2">IF('RANGE'!$D$85=" ",'RANGE'!$E$85,'RANGE'!$D$85)</definedName>
    <definedName name="R_1">IF('RANGE'!$D$94=" ",'RANGE'!$E$94,'RANGE'!$D$94)</definedName>
    <definedName name="R_2">IF('RANGE'!$D$95=" ",'RANGE'!$E$95,'RANGE'!$D$95)</definedName>
    <definedName name="RATE">IF('RANGE'!#REF!=" ",'RANGE'!#REF!,'RANGE'!#REF!)</definedName>
    <definedName name="S">IF('RANGE'!$D$78=" ",'RANGE'!$E$78,'RANGE'!$D$78)</definedName>
    <definedName name="SF">IF('RANGE'!$D$77=" ",'RANGE'!$E$77,'RANGE'!$D$77)</definedName>
    <definedName name="SIF">IF('RANGE'!$K$30=" ",'RANGE'!$L$30,'RANGE'!$K$30)</definedName>
    <definedName name="STADJ">DATE(YEAR('RANGE'!$K$163),MONTH('RANGE'!$K$163)+1,1)-1</definedName>
    <definedName name="START">DATE(YEAR('RANGE'!$K$163),MONTH('RANGE'!$K$163)+1,1)-1</definedName>
    <definedName name="U">IF('RANGE'!$D$79=" ",'RANGE'!$E$79,'RANGE'!$D$79)</definedName>
    <definedName name="WA">"(WARPED  SCHEDULE)"</definedName>
    <definedName name="WAGE">IF('RANGE'!#REF!=" ",'RANGE'!#REF!,'RANGE'!#REF!)</definedName>
    <definedName name="WEG">('RANGE'!$E$13-'RANGE'!$E$10)/'RANGE'!$E$4*('RANGE'!$E$25-'RANGE'!$E$19-'RANGE'!$E$20-'RANGE'!$E$21-'RANGE'!$E$23)/'RANGE'!$E$13*('RANGE'!$E$32-'RANGE'!$E$27-'RANGE'!$E$28-'RANGE'!$E$29-'RANGE'!$E$30)/'RANGE'!$E$25*('RANGE'!$E$64-'RANGE'!$E$62)/'RANGE'!$E$32*'RANGE'!$E$68/'RANGE'!$E$64</definedName>
    <definedName name="WM10">(WM8+'RANGE'!$E$62)*(100-IF('RANGE'!$D$101=" ",'RANGE'!$E$101,'RANGE'!$D$101))/100</definedName>
    <definedName name="WM2">'RANGE'!$E$7+(1-IL/100-I_1/100)*('RANGE'!$E$16+'RANGE'!$E$20)+(1-EL/100-EF/100)*('RANGE'!$E$17+'RANGE'!$E$21)+(1-(IL+EL)/2/100-(I_1+EF)/2/100)*'RANGE'!$E$22+'RANGE'!$E$23+(100-S-U)/100*('RANGE'!$E$15+'RANGE'!$E$19)</definedName>
    <definedName name="WM3">WM2+(100-Q_1-Q_2)/100*'RANGE'!$E$27+(100-O_1-O_2)/100*'RANGE'!$E$28+(100-B_1-B_2)/100*'RANGE'!$E$29+(100-P_1-P_2)/100*'RANGE'!$E$30</definedName>
    <definedName name="WM4">WM3+(100-M_1-M_2)/100*'RANGE'!$E$34+(100-R_1-R_2)/100*'RANGE'!$E$35+(100-D_1-D_2)/100*'RANGE'!$E$36</definedName>
    <definedName name="WM5">WM4+'RANGE'!$E$44*(1-FM_4/(FM_4+WM4))</definedName>
    <definedName name="WM6">WM5*('RANGE'!$D$48/100+1)</definedName>
    <definedName name="WM7">WM6+(100-G_1-G_2)/100*'RANGE'!$E$52</definedName>
    <definedName name="WM8">WM7*(1+'RANGE'!$E$55/'RANGE'!$E$54)</definedName>
    <definedName name="X">IF('RANGE'!$K$77=" ",'RANGE'!$L$77,'RANGE'!$K$77)</definedName>
    <definedName name="XR">IF('RANGE'!$K$32=" ",'RANGE'!$L$32,'RANGE'!$K$32)</definedName>
    <definedName name="Y">IF('RANGE'!$K$78=" ",'RANGE'!$L$78,'RANGE'!$K$78)</definedName>
    <definedName name="YN">IF('RANGE'!#REF!="Y",'RANGE'!#REF!,IF('RANGE'!#REF!="N",'RANGE'!#REF!,"Y"))</definedName>
    <definedName name="Z">IF('RANGE'!$K$79=" ",'RANGE'!$L$79,'RANGE'!$K$79)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<sst xmlns="http://schemas.openxmlformats.org/spreadsheetml/2006/main" count="285" uniqueCount="204">
  <si>
    <t xml:space="preserve">      E  A  R  L  Y      P  R  O  J  E  C  T      A  N  A  L  Y  S  I  S      S  Y  S  T  E  M</t>
  </si>
  <si>
    <t xml:space="preserve">                "F A C E    S H E ET"    </t>
  </si>
  <si>
    <t>$M</t>
  </si>
  <si>
    <t xml:space="preserve">     IDENTIFIABLES</t>
  </si>
  <si>
    <t>PROJECT  OR  STUDY</t>
  </si>
  <si>
    <t>WILMINGTON  EQUIPMENT</t>
  </si>
  <si>
    <t>NAME :</t>
  </si>
  <si>
    <t xml:space="preserve"> </t>
  </si>
  <si>
    <t>MISC.  EQUIPMENT</t>
  </si>
  <si>
    <t>PROCESS  EQUIPMENT====&gt;</t>
  </si>
  <si>
    <t>CHARGE NO. :</t>
  </si>
  <si>
    <t>INSTALL.</t>
  </si>
  <si>
    <t>FIELD  ERECTED  EQUIPMENT</t>
  </si>
  <si>
    <t>PLANT :</t>
  </si>
  <si>
    <t>FOUND., SUPPORTS, &amp; PLATFORMS</t>
  </si>
  <si>
    <t>DEPARTMENT :</t>
  </si>
  <si>
    <t>INSTALLED  EQUIPMENT===&gt;</t>
  </si>
  <si>
    <t>ESTIMATE</t>
  </si>
  <si>
    <t>P</t>
  </si>
  <si>
    <t>IPE</t>
  </si>
  <si>
    <t>PREPARED  BY:</t>
  </si>
  <si>
    <t xml:space="preserve">I </t>
  </si>
  <si>
    <t>NSTRUMENTS</t>
  </si>
  <si>
    <t>DATE</t>
  </si>
  <si>
    <t>E</t>
  </si>
  <si>
    <t>LECTRIC</t>
  </si>
  <si>
    <t>IDENTIFIABLE   PIPE</t>
  </si>
  <si>
    <t>LETTER</t>
  </si>
  <si>
    <t>IDENTIFIABLE   INSTRUMENTS</t>
  </si>
  <si>
    <t>SCOPE</t>
  </si>
  <si>
    <t>IDENTIFIABLE   ELECTRIC</t>
  </si>
  <si>
    <t>BY :</t>
  </si>
  <si>
    <t>CONTROL  EQUIPMENT</t>
  </si>
  <si>
    <t>DATE :</t>
  </si>
  <si>
    <t>EXISTING  EQUIPMENT</t>
  </si>
  <si>
    <t>CASE   DESCRIPTION :</t>
  </si>
  <si>
    <t>SUB  TOTAL=====&gt;</t>
  </si>
  <si>
    <t>SPECIAL  PROCESS  EQUIPMENT</t>
  </si>
  <si>
    <t xml:space="preserve">OTHER  EQUIPMENT </t>
  </si>
  <si>
    <t>BUILDINGS  AND  STRUCTURES</t>
  </si>
  <si>
    <t>IDENTIFIABLE  PGS  FACILITIES</t>
  </si>
  <si>
    <t>S.  F.==&gt;</t>
  </si>
  <si>
    <t>X  RATIO=&gt;</t>
  </si>
  <si>
    <t>MISCELLANEOUS   PGS</t>
  </si>
  <si>
    <t>D  &amp;  R</t>
  </si>
  <si>
    <t>PCR   20</t>
  </si>
  <si>
    <t>MAINTAINING   PRODUCTION</t>
  </si>
  <si>
    <t xml:space="preserve">     PROJECT  COST, M$ </t>
  </si>
  <si>
    <t>SUB  TOTAL=&gt;</t>
  </si>
  <si>
    <t>BARE  LABOR   =</t>
  </si>
  <si>
    <t xml:space="preserve"> ----&gt;&gt;----------&gt;&gt;-------&gt;&gt;----project  level  L A B O R --------&gt;&gt;</t>
  </si>
  <si>
    <t>WILM.  MATERIAL  =</t>
  </si>
  <si>
    <t xml:space="preserve"> --------&gt;&gt;- project  level   WILMINGTON   MATERIAL ----&gt;&gt;</t>
  </si>
  <si>
    <t>FIELD  MATERIAL =</t>
  </si>
  <si>
    <t xml:space="preserve"> --------&gt;&gt;---------&gt;&gt;- project  level  FIELD   MATERIAL -------&gt;&gt;</t>
  </si>
  <si>
    <t>WORKING  CONDITIONS</t>
  </si>
  <si>
    <t>FREIGHT  AND  TAXES</t>
  </si>
  <si>
    <t>FIELD  DIRECTS</t>
  </si>
  <si>
    <t>CONTINGENCY</t>
  </si>
  <si>
    <t>NET  TOTAL===&gt;</t>
  </si>
  <si>
    <t>PREMIUM  TIME</t>
  </si>
  <si>
    <t>MINOR  CHANGES</t>
  </si>
  <si>
    <t xml:space="preserve">ESCALATION  </t>
  </si>
  <si>
    <t>DIRECT  TOTAL==&gt;</t>
  </si>
  <si>
    <t>ENGINEERING  &amp;  HOME  OFFICE</t>
  </si>
  <si>
    <t xml:space="preserve"> -&gt;&gt;-------&gt;&gt;-------&gt;&gt;--- E  &amp;  H O ---&gt;&gt;</t>
  </si>
  <si>
    <t>FIELD  INDIRECTS</t>
  </si>
  <si>
    <t xml:space="preserve">  ---------&gt;&gt;-FIELD  INDIRECTS --&gt;&gt;</t>
  </si>
  <si>
    <t>CONTRACT  ADMINISTRATION</t>
  </si>
  <si>
    <t xml:space="preserve"> --&gt;&gt;-----&gt;&gt;- C O N T R A C T S --&gt;&gt;</t>
  </si>
  <si>
    <t>SPARES  &amp;  PORTABLES</t>
  </si>
  <si>
    <t>LIPS  ADJ</t>
  </si>
  <si>
    <t>PROJECT  GRAND  TOTAL===&gt;</t>
  </si>
  <si>
    <t xml:space="preserve">          I N T E R N A L   F A C T O R S</t>
  </si>
  <si>
    <t xml:space="preserve">                F A C E    S H E E T    F A C T O R S</t>
  </si>
  <si>
    <t xml:space="preserve">INSULATION  LABOR       </t>
  </si>
  <si>
    <t>MISCELLANEOUS  EQUIPMENT</t>
  </si>
  <si>
    <t xml:space="preserve">FNDS, SUPP, &amp; PLTFRMS.  LAB. </t>
  </si>
  <si>
    <t>EQUIP.  INSTALL.  FIELD  MATERIAL</t>
  </si>
  <si>
    <t xml:space="preserve"> PIPE  LABOR   </t>
  </si>
  <si>
    <t>EQUIPMENT  INSTALLATION  LABOR</t>
  </si>
  <si>
    <t xml:space="preserve"> PIPE  FIELD  MATERIAL  </t>
  </si>
  <si>
    <t>EQUIPMENT  INSULATION</t>
  </si>
  <si>
    <t xml:space="preserve"> INSTRUMENT  LABOR </t>
  </si>
  <si>
    <t>FOUNDS., SUPPORTS &amp; PLATFORMS</t>
  </si>
  <si>
    <t xml:space="preserve"> INSTRUMENT  FIELD  MATERIAL </t>
  </si>
  <si>
    <t>P I P E   (L &amp; M)</t>
  </si>
  <si>
    <t xml:space="preserve"> ELECTRICAL  LABOR </t>
  </si>
  <si>
    <t>I N S T R U M E N T   (L &amp; M)</t>
  </si>
  <si>
    <t xml:space="preserve">ELECTRICAL  FIELD  MATERIAL </t>
  </si>
  <si>
    <t>ELECTRIC    (L &amp; M)</t>
  </si>
  <si>
    <t xml:space="preserve">SPECIAL  PROCESS  ITEMS  LABOR </t>
  </si>
  <si>
    <t>CONTROL  EQUIPMENT (L &amp; M)</t>
  </si>
  <si>
    <t xml:space="preserve">SPECIAL  PROC.  FIELD  MATERIAL </t>
  </si>
  <si>
    <t>MISCELLANEOUS  PGS  (L &amp; M)</t>
  </si>
  <si>
    <t>OTHER   ITEMS  LABOR</t>
  </si>
  <si>
    <t>D  &amp;  R    (L &amp; M)</t>
  </si>
  <si>
    <t>OTHER   ITEMS  FIELD  MATERIAL</t>
  </si>
  <si>
    <t>MAINTAINING  PRODUCTION  (L &amp; M)</t>
  </si>
  <si>
    <t>BUILDINGS &amp; STRUCTURES  LABOR</t>
  </si>
  <si>
    <t>WORKING  CONDITIONS  (L &amp; M)</t>
  </si>
  <si>
    <t>BUILD. &amp; STRUCT. FIELD  MATERIAL</t>
  </si>
  <si>
    <t>FREIGHT  &amp;  TAXES  (L &amp; M)</t>
  </si>
  <si>
    <t>IDENTIFIABLE  PGS  LABOR</t>
  </si>
  <si>
    <t>FIELD  DIRECTS   (L &amp; M)</t>
  </si>
  <si>
    <t>IDENT.  PGS  FIELD  MATERIAL</t>
  </si>
  <si>
    <t>C O N T I N G E N C Y</t>
  </si>
  <si>
    <t>MISCELLANEOUS  PGS  LABOR</t>
  </si>
  <si>
    <t>PREMIUM  TIME  (LABOR)</t>
  </si>
  <si>
    <t>MISC.  PGS  FIELD  MATERIAL</t>
  </si>
  <si>
    <t>MINOR  CHANGES  (L &amp; M)</t>
  </si>
  <si>
    <t>D &amp; R  LABOR</t>
  </si>
  <si>
    <t>M P C     I N D E X</t>
  </si>
  <si>
    <t>D &amp; R  FIELD  MATERIAL</t>
  </si>
  <si>
    <t>CURRENT    I N D E X</t>
  </si>
  <si>
    <t>MAINTAINING PRODUCTION LABOR</t>
  </si>
  <si>
    <t>MAINT.  PROD.  FIELD  MATERIAL</t>
  </si>
  <si>
    <t>F I E L D     I N D I R E C T S</t>
  </si>
  <si>
    <t>MINOR  CHANGES  LABOR</t>
  </si>
  <si>
    <t>CONTRACT ADMINISTRATION</t>
  </si>
  <si>
    <t>MINOR  CHANGES  FIELD  MATERIAL</t>
  </si>
  <si>
    <t>L I P S     A D J U S T M E N T</t>
  </si>
  <si>
    <t>% LABOR &amp; F/M  IN L/S  CONTRACT</t>
  </si>
  <si>
    <t>%  WILM.  MATL.  IN  L/S  CONTRACT</t>
  </si>
  <si>
    <t xml:space="preserve">            WILMINGTON  EQUIPMENT</t>
  </si>
  <si>
    <t xml:space="preserve">          IDENTIFIABLE  INSTRUMENTS</t>
  </si>
  <si>
    <t>EQUIPMENT</t>
  </si>
  <si>
    <t xml:space="preserve"> T O T A L   ===&gt;</t>
  </si>
  <si>
    <t xml:space="preserve">                IDENTIFIABLE  ELECTRIC</t>
  </si>
  <si>
    <t xml:space="preserve">                  EXISTING   EQUIPMENT</t>
  </si>
  <si>
    <t xml:space="preserve">       SPECIAL  PROCESS  EQUIPMENT</t>
  </si>
  <si>
    <t xml:space="preserve">                OTHER    EQUIPMENT</t>
  </si>
  <si>
    <t xml:space="preserve">        BUILDINGS  AND  STRUCTURES</t>
  </si>
  <si>
    <t>T O T A L  ===&gt;</t>
  </si>
  <si>
    <t>BUILD  &amp;  STRUCT</t>
  </si>
  <si>
    <t xml:space="preserve">        FIELD  ERECTED  EQUIPMENT</t>
  </si>
  <si>
    <t>F/E  EQUIPMENT</t>
  </si>
  <si>
    <t xml:space="preserve">       IDENTIFIABLE   PGS    FACILITIES</t>
  </si>
  <si>
    <t>IDENT  PGS   FACIL</t>
  </si>
  <si>
    <t xml:space="preserve">                   IDENTIFIABLE  PIPE</t>
  </si>
  <si>
    <t>IDENT   PIPE</t>
  </si>
  <si>
    <t xml:space="preserve">              SPARES  AND  PORTABLES</t>
  </si>
  <si>
    <t>SPARES  &amp;  PORT</t>
  </si>
  <si>
    <t>Min</t>
  </si>
  <si>
    <t>Max</t>
  </si>
  <si>
    <t>RANGE %</t>
  </si>
  <si>
    <t>Factor</t>
  </si>
  <si>
    <t>Y</t>
  </si>
  <si>
    <t>TriDist</t>
  </si>
  <si>
    <t>Extremes</t>
  </si>
  <si>
    <t>Step #1</t>
  </si>
  <si>
    <t>Segments</t>
  </si>
  <si>
    <t>T=</t>
  </si>
  <si>
    <t>B=</t>
  </si>
  <si>
    <t>A</t>
  </si>
  <si>
    <t>Set to</t>
  </si>
  <si>
    <t>Zero 1st,</t>
  </si>
  <si>
    <t>Calculate,</t>
  </si>
  <si>
    <t>Then Set to</t>
  </si>
  <si>
    <t>within</t>
  </si>
  <si>
    <t>"Bang" is</t>
  </si>
  <si>
    <t>Segment Values</t>
  </si>
  <si>
    <t>Low</t>
  </si>
  <si>
    <t>High</t>
  </si>
  <si>
    <t>Ave.</t>
  </si>
  <si>
    <t>Step #2</t>
  </si>
  <si>
    <t>Step #3</t>
  </si>
  <si>
    <t>Calculate Multiple Times</t>
  </si>
  <si>
    <t>D A T A     I N P U T     S H E E T     F O R     R A N G E     E S T I M A T E</t>
  </si>
  <si>
    <t>with "Y" in L73</t>
  </si>
  <si>
    <t>Column A</t>
  </si>
  <si>
    <t>Equal to</t>
  </si>
  <si>
    <t>Blank, Y, B or T</t>
  </si>
  <si>
    <t>Calculate with Blank (space bar) to get Total with fixed input</t>
  </si>
  <si>
    <t>Calculate with T and then B to get the Extreme values</t>
  </si>
  <si>
    <t>Excel Calculation to be Manual</t>
  </si>
  <si>
    <t>with one interation only</t>
  </si>
  <si>
    <t>High Squeeze</t>
  </si>
  <si>
    <t>Low Squeeze</t>
  </si>
  <si>
    <t>(flat)=0, 5=(triangular)</t>
  </si>
  <si>
    <t>F. L. ARBOGAST</t>
  </si>
  <si>
    <t>CORPUS CHRISTI</t>
  </si>
  <si>
    <t>CHEMICALS</t>
  </si>
  <si>
    <t>W. E. GUENTHNER</t>
  </si>
  <si>
    <t>FREON ALTERNATIVES MFG</t>
  </si>
  <si>
    <t>FACILITY - HFC-134a WEST</t>
  </si>
  <si>
    <t>HIGH TEMPERATURE PROCESS</t>
  </si>
  <si>
    <t>VGA FILE - CDEWEG01:#10</t>
  </si>
  <si>
    <t>ANALYZERS</t>
  </si>
  <si>
    <t>DCS</t>
  </si>
  <si>
    <t>SUBSTA, DIESEL GEN, COMMUN, ETC.</t>
  </si>
  <si>
    <t>EXISTING SPHERES</t>
  </si>
  <si>
    <t>REFRIGERATION EQUIPMENT</t>
  </si>
  <si>
    <t>PACKING</t>
  </si>
  <si>
    <t>ARCH &amp; CIVIL WORK</t>
  </si>
  <si>
    <t>EWO'S &amp; TEMP CONSTR FACIL</t>
  </si>
  <si>
    <t>OSOH/OSUG PIPE &amp; INSUL</t>
  </si>
  <si>
    <t xml:space="preserve"> = Most Likely</t>
  </si>
  <si>
    <t xml:space="preserve"> = Total</t>
  </si>
  <si>
    <t>The Probability is</t>
  </si>
  <si>
    <t>The Total will be</t>
  </si>
  <si>
    <t>of the Most likely Total</t>
  </si>
  <si>
    <t>Lo</t>
  </si>
  <si>
    <t>Hi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</si>
</sst>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Red]&quot;( &quot;##0&quot;% FM&quot;"/>
    <numFmt numFmtId="165" formatCode="[Red]##0&quot;% )&quot;"/>
    <numFmt numFmtId="166" formatCode="[Red]##0&quot;% INS )&quot;"/>
    <numFmt numFmtId="167" formatCode="[Red]&quot; / &quot;##0&quot;% LAB /&quot;"/>
    <numFmt numFmtId="168" formatCode="[Red]##0&quot;%&quot;"/>
    <numFmt numFmtId="169" formatCode="[Blue]###,##0"/>
    <numFmt numFmtId="170" formatCode="[Red]###,##0"/>
    <numFmt numFmtId="171" formatCode="[Red]\-###,##0"/>
    <numFmt numFmtId="172" formatCode="[Blue]##0&quot;%&quot;"/>
    <numFmt numFmtId="173" formatCode="[Magenta]@"/>
    <numFmt numFmtId="174" formatCode="[Red]##0&quot; /&quot;"/>
    <numFmt numFmtId="175" formatCode="[Red]##0"/>
    <numFmt numFmtId="176" formatCode="[Red]&quot;MPC&quot;\ \ \ ##0&quot; /&quot;"/>
    <numFmt numFmtId="177" formatCode="[Red]##0\ \ \ &quot;CURR&quot;"/>
    <numFmt numFmtId="178" formatCode="[Red]&quot;MPC&quot;\ \ \ ##0&quot; / &quot;"/>
    <numFmt numFmtId="179" formatCode="[Red]&quot;MPC&quot;\ \ \ ##0&quot;  /&quot;"/>
    <numFmt numFmtId="180" formatCode="[Red]##0.00&quot;%&quot;"/>
    <numFmt numFmtId="181" formatCode="[Red]##0.00&quot; X&quot;"/>
    <numFmt numFmtId="182" formatCode="[Red]&quot;X &quot;#0.00&quot; =&quot;"/>
    <numFmt numFmtId="183" formatCode="[Red]&quot;X  &quot;#0.00&quot;  =&quot;"/>
    <numFmt numFmtId="184" formatCode="[Red]&quot;X   &quot;#0.00&quot;   =&quot;"/>
    <numFmt numFmtId="185" formatCode="[Magenta]###,##0"/>
    <numFmt numFmtId="186" formatCode="###,##0"/>
    <numFmt numFmtId="187" formatCode="[Blue]#0&quot; %&quot;"/>
    <numFmt numFmtId="188" formatCode="[Red]@"/>
    <numFmt numFmtId="189" formatCode="[Blue]##.00000&quot;%&quot;"/>
    <numFmt numFmtId="190" formatCode="[Blue]m/yy"/>
    <numFmt numFmtId="191" formatCode="[Blue]&quot;  &quot;#0&quot; %&quot;"/>
    <numFmt numFmtId="192" formatCode="[Blue]&quot;    &quot;#0&quot; %&quot;"/>
    <numFmt numFmtId="193" formatCode="[Blue]##.0"/>
    <numFmt numFmtId="194" formatCode="\ \ \ \ \ \ \ \ \ \ \ \ \ &quot;IV&quot;"/>
    <numFmt numFmtId="195" formatCode="\ \ \ \ \ \ \ \ \ \ \ \ \ &quot;III&quot;"/>
    <numFmt numFmtId="196" formatCode="\ \ \ \ \ \ \ \ \ \ \ \ \ &quot;II&quot;"/>
    <numFmt numFmtId="197" formatCode="yyyy&quot;     I&quot;"/>
    <numFmt numFmtId="198" formatCode="[Magenta]#0&quot; %&quot;"/>
    <numFmt numFmtId="199" formatCode="[Red]#0&quot; %&quot;"/>
    <numFmt numFmtId="200" formatCode="m/yy"/>
    <numFmt numFmtId="201" formatCode="[Red]m/yy"/>
    <numFmt numFmtId="202" formatCode="[Blue]@"/>
    <numFmt numFmtId="203" formatCode="[Blue]&quot;$&quot;#0.0&quot;MM&quot;"/>
    <numFmt numFmtId="204" formatCode="[Magenta]m/yy"/>
    <numFmt numFmtId="205" formatCode="[Red]#.00"/>
    <numFmt numFmtId="206" formatCode="[Magenta]#.00"/>
    <numFmt numFmtId="207" formatCode="0.0000"/>
    <numFmt numFmtId="208" formatCode="0.000"/>
    <numFmt numFmtId="209" formatCode="0.0"/>
    <numFmt numFmtId="210" formatCode="&quot;+ &quot;0&quot;%&quot;"/>
    <numFmt numFmtId="211" formatCode="&quot;- &quot;0&quot;%&quot;"/>
    <numFmt numFmtId="212" formatCode="[Blue]#0"/>
    <numFmt numFmtId="213" formatCode="#,##0.0"/>
    <numFmt numFmtId="214" formatCode="0.000000"/>
    <numFmt numFmtId="215" formatCode="0.00000"/>
    <numFmt numFmtId="216" formatCode="#,##0&quot; Most Likely Total Cost&quot;"/>
    <numFmt numFmtId="217" formatCode="0.0&quot;%&quot;"/>
    <numFmt numFmtId="218" formatCode="&quot;+ or - &quot;0&quot;%&quot;"/>
  </numFmts>
  <fonts count="25">
    <font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name val="Helv"/>
      <family val="0"/>
    </font>
    <font>
      <sz val="10"/>
      <name val="MS Sans Serif"/>
      <family val="0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b/>
      <sz val="10"/>
      <color indexed="12"/>
      <name val="Helv"/>
      <family val="0"/>
    </font>
    <font>
      <b/>
      <sz val="10"/>
      <color indexed="9"/>
      <name val="Helv"/>
      <family val="0"/>
    </font>
    <font>
      <u val="single"/>
      <sz val="10"/>
      <name val="Helv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0.25"/>
      <name val="Arial"/>
      <family val="0"/>
    </font>
    <font>
      <sz val="16"/>
      <color indexed="10"/>
      <name val="Helv"/>
      <family val="0"/>
    </font>
    <font>
      <sz val="16"/>
      <color indexed="12"/>
      <name val="Helv"/>
      <family val="0"/>
    </font>
    <font>
      <sz val="18"/>
      <name val="Helv"/>
      <family val="0"/>
    </font>
    <font>
      <sz val="16"/>
      <color indexed="57"/>
      <name val="Helv"/>
      <family val="0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2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medium">
        <color indexed="53"/>
      </top>
      <bottom style="hair">
        <color indexed="53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indexed="53"/>
      </bottom>
    </border>
    <border>
      <left style="medium">
        <color indexed="60"/>
      </left>
      <right style="hair">
        <color indexed="60"/>
      </right>
      <top style="medium">
        <color indexed="60"/>
      </top>
      <bottom style="hair">
        <color indexed="60"/>
      </bottom>
    </border>
    <border>
      <left style="hair">
        <color indexed="60"/>
      </left>
      <right style="medium">
        <color indexed="60"/>
      </right>
      <top style="medium">
        <color indexed="60"/>
      </top>
      <bottom style="hair">
        <color indexed="60"/>
      </bottom>
    </border>
    <border>
      <left style="medium">
        <color indexed="60"/>
      </left>
      <right style="hair">
        <color indexed="60"/>
      </right>
      <top style="hair"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hair">
        <color indexed="60"/>
      </top>
      <bottom style="medium">
        <color indexed="60"/>
      </bottom>
    </border>
    <border>
      <left style="medium">
        <color indexed="48"/>
      </left>
      <right style="hair">
        <color indexed="48"/>
      </right>
      <top style="medium">
        <color indexed="48"/>
      </top>
      <bottom style="hair">
        <color indexed="48"/>
      </bottom>
    </border>
    <border>
      <left style="hair">
        <color indexed="48"/>
      </left>
      <right style="medium">
        <color indexed="48"/>
      </right>
      <top style="medium">
        <color indexed="48"/>
      </top>
      <bottom style="hair">
        <color indexed="48"/>
      </bottom>
    </border>
    <border>
      <left style="medium">
        <color indexed="48"/>
      </left>
      <right style="hair">
        <color indexed="48"/>
      </right>
      <top style="hair">
        <color indexed="48"/>
      </top>
      <bottom style="medium">
        <color indexed="48"/>
      </bottom>
    </border>
    <border>
      <left style="hair">
        <color indexed="48"/>
      </left>
      <right style="medium">
        <color indexed="48"/>
      </right>
      <top style="hair">
        <color indexed="48"/>
      </top>
      <bottom style="medium">
        <color indexed="48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NumberFormat="1" applyBorder="1" applyAlignment="1" applyProtection="1">
      <alignment/>
      <protection hidden="1"/>
    </xf>
    <xf numFmtId="0" fontId="0" fillId="0" borderId="2" xfId="0" applyNumberFormat="1" applyBorder="1" applyAlignment="1" applyProtection="1">
      <alignment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/>
      <protection hidden="1"/>
    </xf>
    <xf numFmtId="0" fontId="0" fillId="0" borderId="4" xfId="0" applyNumberFormat="1" applyBorder="1" applyAlignment="1" applyProtection="1">
      <alignment/>
      <protection hidden="1"/>
    </xf>
    <xf numFmtId="0" fontId="0" fillId="0" borderId="5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0" fontId="3" fillId="0" borderId="7" xfId="0" applyNumberFormat="1" applyFon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/>
      <protection hidden="1"/>
    </xf>
    <xf numFmtId="0" fontId="0" fillId="0" borderId="8" xfId="0" applyNumberFormat="1" applyBorder="1" applyAlignment="1" applyProtection="1">
      <alignment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left"/>
      <protection hidden="1"/>
    </xf>
    <xf numFmtId="0" fontId="0" fillId="0" borderId="8" xfId="0" applyNumberFormat="1" applyBorder="1" applyAlignment="1" applyProtection="1">
      <alignment horizontal="left"/>
      <protection hidden="1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2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 horizontal="left"/>
      <protection hidden="1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185" fontId="3" fillId="0" borderId="13" xfId="0" applyNumberFormat="1" applyFont="1" applyBorder="1" applyAlignment="1" applyProtection="1">
      <alignment horizontal="center"/>
      <protection hidden="1"/>
    </xf>
    <xf numFmtId="184" fontId="2" fillId="0" borderId="9" xfId="0" applyNumberFormat="1" applyFont="1" applyBorder="1" applyAlignment="1" applyProtection="1">
      <alignment horizontal="center"/>
      <protection hidden="1"/>
    </xf>
    <xf numFmtId="169" fontId="3" fillId="0" borderId="8" xfId="0" applyNumberFormat="1" applyFon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/>
      <protection locked="0"/>
    </xf>
    <xf numFmtId="0" fontId="0" fillId="0" borderId="5" xfId="0" applyNumberFormat="1" applyBorder="1" applyAlignment="1" applyProtection="1">
      <alignment/>
      <protection locked="0"/>
    </xf>
    <xf numFmtId="168" fontId="2" fillId="0" borderId="6" xfId="0" applyNumberFormat="1" applyFont="1" applyBorder="1" applyAlignment="1" applyProtection="1">
      <alignment horizontal="left"/>
      <protection hidden="1"/>
    </xf>
    <xf numFmtId="169" fontId="0" fillId="0" borderId="14" xfId="0" applyNumberForma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1" borderId="14" xfId="0" applyNumberFormat="1" applyFill="1" applyBorder="1" applyAlignment="1" applyProtection="1">
      <alignment horizontal="left"/>
      <protection hidden="1"/>
    </xf>
    <xf numFmtId="0" fontId="0" fillId="0" borderId="11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 hidden="1"/>
    </xf>
    <xf numFmtId="169" fontId="3" fillId="0" borderId="14" xfId="0" applyNumberFormat="1" applyFon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167" fontId="2" fillId="0" borderId="7" xfId="0" applyNumberFormat="1" applyFont="1" applyBorder="1" applyAlignment="1" applyProtection="1">
      <alignment horizontal="left"/>
      <protection hidden="1"/>
    </xf>
    <xf numFmtId="166" fontId="2" fillId="0" borderId="8" xfId="0" applyNumberFormat="1" applyFont="1" applyBorder="1" applyAlignment="1" applyProtection="1">
      <alignment horizontal="left"/>
      <protection hidden="1"/>
    </xf>
    <xf numFmtId="0" fontId="3" fillId="1" borderId="14" xfId="0" applyNumberFormat="1" applyFont="1" applyFill="1" applyBorder="1" applyAlignment="1" applyProtection="1">
      <alignment horizontal="left"/>
      <protection hidden="1"/>
    </xf>
    <xf numFmtId="185" fontId="3" fillId="0" borderId="14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/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168" fontId="2" fillId="0" borderId="13" xfId="0" applyNumberFormat="1" applyFont="1" applyBorder="1" applyAlignment="1" applyProtection="1">
      <alignment horizontal="left"/>
      <protection hidden="1"/>
    </xf>
    <xf numFmtId="0" fontId="0" fillId="1" borderId="14" xfId="0" applyNumberFormat="1" applyFill="1" applyBorder="1" applyAlignment="1" applyProtection="1">
      <alignment/>
      <protection hidden="1"/>
    </xf>
    <xf numFmtId="14" fontId="0" fillId="0" borderId="4" xfId="0" applyNumberFormat="1" applyBorder="1" applyAlignment="1" applyProtection="1">
      <alignment/>
      <protection locked="0"/>
    </xf>
    <xf numFmtId="168" fontId="2" fillId="0" borderId="9" xfId="0" applyNumberFormat="1" applyFont="1" applyBorder="1" applyAlignment="1" applyProtection="1">
      <alignment horizontal="left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4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3" xfId="0" applyNumberFormat="1" applyFont="1" applyBorder="1" applyAlignment="1" applyProtection="1">
      <alignment/>
      <protection locked="0"/>
    </xf>
    <xf numFmtId="0" fontId="2" fillId="0" borderId="5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right"/>
      <protection hidden="1"/>
    </xf>
    <xf numFmtId="205" fontId="3" fillId="0" borderId="12" xfId="0" applyNumberFormat="1" applyFont="1" applyBorder="1" applyAlignment="1" applyProtection="1">
      <alignment horizontal="left"/>
      <protection locked="0"/>
    </xf>
    <xf numFmtId="206" fontId="2" fillId="0" borderId="0" xfId="0" applyNumberFormat="1" applyFont="1" applyAlignment="1" applyProtection="1">
      <alignment horizontal="left"/>
      <protection hidden="1"/>
    </xf>
    <xf numFmtId="169" fontId="0" fillId="0" borderId="15" xfId="0" applyNumberFormat="1" applyBorder="1" applyAlignment="1" applyProtection="1">
      <alignment horizontal="center"/>
      <protection hidden="1"/>
    </xf>
    <xf numFmtId="0" fontId="0" fillId="0" borderId="11" xfId="0" applyNumberFormat="1" applyBorder="1" applyAlignment="1" applyProtection="1">
      <alignment/>
      <protection hidden="1"/>
    </xf>
    <xf numFmtId="205" fontId="3" fillId="0" borderId="12" xfId="0" applyNumberFormat="1" applyFont="1" applyBorder="1" applyAlignment="1" applyProtection="1">
      <alignment horizontal="left"/>
      <protection hidden="1"/>
    </xf>
    <xf numFmtId="0" fontId="2" fillId="0" borderId="3" xfId="0" applyNumberFormat="1" applyFont="1" applyBorder="1" applyAlignment="1" applyProtection="1">
      <alignment horizontal="right"/>
      <protection hidden="1"/>
    </xf>
    <xf numFmtId="205" fontId="3" fillId="0" borderId="5" xfId="0" applyNumberFormat="1" applyFont="1" applyBorder="1" applyAlignment="1" applyProtection="1">
      <alignment horizontal="left"/>
      <protection locked="0"/>
    </xf>
    <xf numFmtId="0" fontId="3" fillId="0" borderId="13" xfId="0" applyNumberFormat="1" applyFont="1" applyBorder="1" applyAlignment="1" applyProtection="1">
      <alignment/>
      <protection hidden="1"/>
    </xf>
    <xf numFmtId="0" fontId="3" fillId="0" borderId="6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172" fontId="2" fillId="0" borderId="0" xfId="0" applyNumberFormat="1" applyFont="1" applyAlignment="1" applyProtection="1">
      <alignment horizontal="left"/>
      <protection hidden="1"/>
    </xf>
    <xf numFmtId="168" fontId="2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169" fontId="3" fillId="0" borderId="15" xfId="0" applyNumberFormat="1" applyFont="1" applyBorder="1" applyAlignment="1" applyProtection="1">
      <alignment horizontal="center"/>
      <protection hidden="1"/>
    </xf>
    <xf numFmtId="179" fontId="2" fillId="0" borderId="6" xfId="0" applyNumberFormat="1" applyFont="1" applyBorder="1" applyAlignment="1" applyProtection="1">
      <alignment horizontal="right"/>
      <protection hidden="1"/>
    </xf>
    <xf numFmtId="177" fontId="2" fillId="0" borderId="7" xfId="0" applyNumberFormat="1" applyFont="1" applyBorder="1" applyAlignment="1" applyProtection="1">
      <alignment horizontal="left"/>
      <protection hidden="1"/>
    </xf>
    <xf numFmtId="169" fontId="0" fillId="0" borderId="13" xfId="0" applyNumberFormat="1" applyBorder="1" applyAlignment="1" applyProtection="1">
      <alignment horizontal="center"/>
      <protection hidden="1"/>
    </xf>
    <xf numFmtId="173" fontId="3" fillId="0" borderId="0" xfId="0" applyNumberFormat="1" applyFont="1" applyAlignment="1" applyProtection="1">
      <alignment/>
      <protection hidden="1"/>
    </xf>
    <xf numFmtId="188" fontId="3" fillId="0" borderId="0" xfId="0" applyNumberFormat="1" applyFont="1" applyAlignment="1" applyProtection="1">
      <alignment horizontal="left"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199" fontId="3" fillId="0" borderId="8" xfId="0" applyNumberFormat="1" applyFont="1" applyBorder="1" applyAlignment="1" applyProtection="1">
      <alignment horizontal="center"/>
      <protection locked="0"/>
    </xf>
    <xf numFmtId="185" fontId="2" fillId="0" borderId="0" xfId="0" applyNumberFormat="1" applyFont="1" applyAlignment="1" applyProtection="1">
      <alignment horizontal="left"/>
      <protection hidden="1"/>
    </xf>
    <xf numFmtId="0" fontId="2" fillId="0" borderId="6" xfId="0" applyNumberFormat="1" applyFont="1" applyBorder="1" applyAlignment="1" applyProtection="1">
      <alignment/>
      <protection hidden="1"/>
    </xf>
    <xf numFmtId="0" fontId="2" fillId="0" borderId="3" xfId="0" applyNumberFormat="1" applyFont="1" applyBorder="1" applyAlignment="1" applyProtection="1">
      <alignment/>
      <protection hidden="1"/>
    </xf>
    <xf numFmtId="199" fontId="3" fillId="0" borderId="9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/>
      <protection hidden="1"/>
    </xf>
    <xf numFmtId="199" fontId="3" fillId="0" borderId="13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/>
      <protection hidden="1"/>
    </xf>
    <xf numFmtId="199" fontId="3" fillId="0" borderId="15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/>
      <protection hidden="1"/>
    </xf>
    <xf numFmtId="0" fontId="3" fillId="0" borderId="11" xfId="0" applyNumberFormat="1" applyFont="1" applyBorder="1" applyAlignment="1" applyProtection="1">
      <alignment/>
      <protection hidden="1"/>
    </xf>
    <xf numFmtId="0" fontId="3" fillId="0" borderId="3" xfId="0" applyNumberFormat="1" applyFont="1" applyBorder="1" applyAlignment="1" applyProtection="1">
      <alignment/>
      <protection hidden="1"/>
    </xf>
    <xf numFmtId="187" fontId="0" fillId="0" borderId="13" xfId="0" applyNumberFormat="1" applyBorder="1" applyAlignment="1" applyProtection="1">
      <alignment horizontal="center"/>
      <protection hidden="1"/>
    </xf>
    <xf numFmtId="188" fontId="3" fillId="0" borderId="0" xfId="0" applyNumberFormat="1" applyFont="1" applyAlignment="1" applyProtection="1">
      <alignment horizontal="right"/>
      <protection locked="0"/>
    </xf>
    <xf numFmtId="0" fontId="0" fillId="0" borderId="7" xfId="0" applyNumberFormat="1" applyBorder="1" applyAlignment="1" applyProtection="1">
      <alignment horizontal="center"/>
      <protection hidden="1"/>
    </xf>
    <xf numFmtId="200" fontId="0" fillId="0" borderId="0" xfId="0" applyNumberFormat="1" applyAlignment="1" applyProtection="1">
      <alignment/>
      <protection hidden="1"/>
    </xf>
    <xf numFmtId="170" fontId="3" fillId="0" borderId="13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/>
      <protection locked="0"/>
    </xf>
    <xf numFmtId="170" fontId="3" fillId="0" borderId="14" xfId="0" applyNumberFormat="1" applyFon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right"/>
      <protection hidden="1"/>
    </xf>
    <xf numFmtId="185" fontId="3" fillId="0" borderId="9" xfId="0" applyNumberFormat="1" applyFon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 hidden="1"/>
    </xf>
    <xf numFmtId="187" fontId="7" fillId="0" borderId="8" xfId="0" applyNumberFormat="1" applyFont="1" applyBorder="1" applyAlignment="1" applyProtection="1">
      <alignment horizontal="center"/>
      <protection locked="0"/>
    </xf>
    <xf numFmtId="170" fontId="3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3" fontId="7" fillId="0" borderId="0" xfId="0" applyNumberFormat="1" applyFont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center"/>
    </xf>
    <xf numFmtId="210" fontId="0" fillId="0" borderId="0" xfId="0" applyNumberFormat="1" applyAlignment="1">
      <alignment horizontal="left"/>
    </xf>
    <xf numFmtId="211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4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5" xfId="0" applyNumberFormat="1" applyBorder="1" applyAlignment="1" applyProtection="1">
      <alignment horizontal="center"/>
      <protection hidden="1"/>
    </xf>
    <xf numFmtId="0" fontId="5" fillId="4" borderId="16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5" borderId="23" xfId="0" applyFont="1" applyFill="1" applyBorder="1" applyAlignment="1">
      <alignment horizontal="center"/>
    </xf>
    <xf numFmtId="209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0" fillId="6" borderId="24" xfId="0" applyNumberForma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1" fontId="0" fillId="7" borderId="28" xfId="0" applyNumberForma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" fontId="0" fillId="7" borderId="30" xfId="0" applyNumberForma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1" fontId="0" fillId="8" borderId="32" xfId="0" applyNumberForma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1" fontId="0" fillId="8" borderId="34" xfId="0" applyNumberForma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217" fontId="21" fillId="9" borderId="36" xfId="0" applyNumberFormat="1" applyFont="1" applyFill="1" applyBorder="1" applyAlignment="1">
      <alignment horizontal="centerContinuous"/>
    </xf>
    <xf numFmtId="0" fontId="0" fillId="9" borderId="37" xfId="0" applyFill="1" applyBorder="1" applyAlignment="1">
      <alignment horizontal="centerContinuous"/>
    </xf>
    <xf numFmtId="218" fontId="10" fillId="9" borderId="36" xfId="0" applyNumberFormat="1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0" fillId="9" borderId="36" xfId="0" applyFont="1" applyFill="1" applyBorder="1" applyAlignment="1">
      <alignment horizontal="center"/>
    </xf>
    <xf numFmtId="0" fontId="20" fillId="9" borderId="37" xfId="0" applyFont="1" applyFill="1" applyBorder="1" applyAlignment="1">
      <alignment horizontal="center"/>
    </xf>
    <xf numFmtId="0" fontId="20" fillId="9" borderId="36" xfId="0" applyFont="1" applyFill="1" applyBorder="1" applyAlignment="1">
      <alignment horizontal="center" vertical="justify"/>
    </xf>
    <xf numFmtId="0" fontId="20" fillId="9" borderId="37" xfId="0" applyFont="1" applyFill="1" applyBorder="1" applyAlignment="1">
      <alignment horizontal="center" vertical="justify"/>
    </xf>
    <xf numFmtId="0" fontId="20" fillId="9" borderId="38" xfId="0" applyFont="1" applyFill="1" applyBorder="1" applyAlignment="1">
      <alignment horizontal="center" vertical="justify"/>
    </xf>
    <xf numFmtId="0" fontId="20" fillId="9" borderId="39" xfId="0" applyFont="1" applyFill="1" applyBorder="1" applyAlignment="1">
      <alignment horizontal="center" vertical="justify"/>
    </xf>
    <xf numFmtId="0" fontId="17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20" fillId="9" borderId="41" xfId="0" applyFont="1" applyFill="1" applyBorder="1" applyAlignment="1">
      <alignment horizontal="center"/>
    </xf>
    <xf numFmtId="0" fontId="20" fillId="9" borderId="4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2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RANGE!$Y$76:$Y$95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RANGE!$Z$76:$Z$95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331729"/>
        <c:axId val="2985562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RANGE!$Y$76:$Y$95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RANGE!$U$76:$U$95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RANGE!$Y$112:$Y$113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RANGE!$Z$112:$Z$113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12700">
                <a:solidFill>
                  <a:srgbClr val="993300"/>
                </a:solidFill>
              </a:ln>
            </c:spPr>
            <c:marker>
              <c:symbol val="auto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9933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9933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RANGE!$Y$115:$Y$116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RANGE!$Z$115:$Z$116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3366FF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RANGE!$Y$118:$Y$119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RANGE!$Z$118:$Z$119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6870059"/>
        <c:axId val="40503940"/>
      </c:scatterChart>
      <c:valAx>
        <c:axId val="331729"/>
        <c:scaling>
          <c:orientation val="minMax"/>
          <c:max val="95000"/>
          <c:min val="7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Average 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85562"/>
        <c:crosses val="autoZero"/>
        <c:crossBetween val="midCat"/>
        <c:dispUnits/>
        <c:majorUnit val="30000"/>
      </c:valAx>
      <c:valAx>
        <c:axId val="29855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 Calcs Less than Ave. 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31729"/>
        <c:crossesAt val="75000"/>
        <c:crossBetween val="midCat"/>
        <c:dispUnits/>
        <c:majorUnit val="10"/>
        <c:minorUnit val="5"/>
      </c:valAx>
      <c:valAx>
        <c:axId val="26870059"/>
        <c:scaling>
          <c:orientation val="minMax"/>
        </c:scaling>
        <c:axPos val="b"/>
        <c:delete val="1"/>
        <c:majorTickMark val="in"/>
        <c:minorTickMark val="none"/>
        <c:tickLblPos val="nextTo"/>
        <c:crossAx val="40503940"/>
        <c:crossesAt val="0"/>
        <c:crossBetween val="midCat"/>
        <c:dispUnits/>
      </c:valAx>
      <c:valAx>
        <c:axId val="4050394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Calculations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870059"/>
        <c:crosses val="max"/>
        <c:crossBetween val="midCat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100</xdr:row>
      <xdr:rowOff>152400</xdr:rowOff>
    </xdr:from>
    <xdr:to>
      <xdr:col>19</xdr:col>
      <xdr:colOff>495300</xdr:colOff>
      <xdr:row>131</xdr:row>
      <xdr:rowOff>142875</xdr:rowOff>
    </xdr:to>
    <xdr:graphicFrame>
      <xdr:nvGraphicFramePr>
        <xdr:cNvPr id="1" name="Chart 1"/>
        <xdr:cNvGraphicFramePr/>
      </xdr:nvGraphicFramePr>
      <xdr:xfrm>
        <a:off x="3219450" y="15497175"/>
        <a:ext cx="7134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45"/>
  <sheetViews>
    <sheetView showGridLines="0" showRowColHeaders="0" tabSelected="1" zoomScale="85" zoomScaleNormal="85" workbookViewId="0" topLeftCell="A1">
      <selection activeCell="A3" sqref="A3"/>
    </sheetView>
  </sheetViews>
  <sheetFormatPr defaultColWidth="9.140625" defaultRowHeight="12.75"/>
  <cols>
    <col min="3" max="3" width="9.7109375" style="0" customWidth="1"/>
    <col min="6" max="6" width="0.85546875" style="0" customWidth="1"/>
    <col min="9" max="9" width="0.85546875" style="0" customWidth="1"/>
    <col min="11" max="11" width="12.00390625" style="0" customWidth="1"/>
    <col min="13" max="13" width="4.140625" style="0" customWidth="1"/>
    <col min="19" max="19" width="1.421875" style="0" customWidth="1"/>
    <col min="22" max="22" width="1.8515625" style="0" customWidth="1"/>
    <col min="23" max="23" width="12.7109375" style="0" bestFit="1" customWidth="1"/>
  </cols>
  <sheetData>
    <row r="1" spans="1:25" ht="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96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8"/>
      <c r="B2" s="9" t="s">
        <v>1</v>
      </c>
      <c r="C2" s="10"/>
      <c r="D2" s="11"/>
      <c r="E2" s="12" t="s">
        <v>2</v>
      </c>
      <c r="F2" s="7"/>
      <c r="G2" s="13" t="s">
        <v>3</v>
      </c>
      <c r="H2" s="14"/>
      <c r="I2" s="7"/>
      <c r="J2" s="15" t="s">
        <v>4</v>
      </c>
      <c r="K2" s="16"/>
      <c r="L2" s="17"/>
      <c r="N2" s="8" t="s">
        <v>124</v>
      </c>
      <c r="O2" s="10"/>
      <c r="P2" s="10"/>
      <c r="Q2" s="95"/>
      <c r="R2" s="12" t="s">
        <v>2</v>
      </c>
      <c r="S2" s="7"/>
      <c r="T2" s="8" t="s">
        <v>125</v>
      </c>
      <c r="U2" s="2"/>
      <c r="V2" s="10"/>
      <c r="W2" s="10"/>
      <c r="X2" s="10"/>
      <c r="Y2" s="12" t="s">
        <v>2</v>
      </c>
    </row>
    <row r="3" spans="1:25" ht="13.5" customHeight="1">
      <c r="A3" s="18"/>
      <c r="B3" s="7"/>
      <c r="C3" s="7"/>
      <c r="D3" s="7"/>
      <c r="E3" s="2"/>
      <c r="F3" s="7"/>
      <c r="G3" s="7"/>
      <c r="H3" s="19"/>
      <c r="I3" s="7"/>
      <c r="J3" s="20"/>
      <c r="K3" s="21"/>
      <c r="L3" s="22"/>
      <c r="N3" s="7"/>
      <c r="O3" s="7"/>
      <c r="P3" s="7"/>
      <c r="Q3" s="7"/>
      <c r="R3" s="7"/>
      <c r="S3" s="7"/>
      <c r="T3" s="32" t="s">
        <v>188</v>
      </c>
      <c r="U3" s="16"/>
      <c r="V3" s="16"/>
      <c r="W3" s="16"/>
      <c r="X3" s="16"/>
      <c r="Y3" s="97">
        <v>750</v>
      </c>
    </row>
    <row r="4" spans="1:25" ht="12.75">
      <c r="A4" s="7" t="s">
        <v>5</v>
      </c>
      <c r="B4" s="7"/>
      <c r="C4" s="7"/>
      <c r="D4" s="7"/>
      <c r="E4" s="23">
        <f>R37</f>
        <v>16653.52</v>
      </c>
      <c r="F4" s="7"/>
      <c r="G4" s="24">
        <f>WEG</f>
        <v>4.230456215916494</v>
      </c>
      <c r="H4" s="25">
        <f>E4*G4</f>
        <v>70451.98720088965</v>
      </c>
      <c r="I4" s="7"/>
      <c r="J4" s="20" t="s">
        <v>6</v>
      </c>
      <c r="K4" s="26" t="s">
        <v>180</v>
      </c>
      <c r="L4" s="27"/>
      <c r="N4" s="98" t="s">
        <v>126</v>
      </c>
      <c r="O4" s="16"/>
      <c r="P4" s="16"/>
      <c r="Q4" s="17"/>
      <c r="R4" s="97">
        <v>16013</v>
      </c>
      <c r="S4" s="7"/>
      <c r="T4" s="32" t="s">
        <v>189</v>
      </c>
      <c r="U4" s="21"/>
      <c r="V4" s="21"/>
      <c r="W4" s="21"/>
      <c r="X4" s="21"/>
      <c r="Y4" s="99">
        <v>1575</v>
      </c>
    </row>
    <row r="5" spans="1:25" ht="12.75">
      <c r="A5" s="7" t="s">
        <v>8</v>
      </c>
      <c r="B5" s="7"/>
      <c r="C5" s="7"/>
      <c r="D5" s="28">
        <f>IF(K76=" ",L76,K76)</f>
        <v>5.1</v>
      </c>
      <c r="E5" s="29">
        <f>E4*D5/100</f>
        <v>849.3295199999999</v>
      </c>
      <c r="F5" s="7"/>
      <c r="G5" s="30"/>
      <c r="H5" s="31"/>
      <c r="I5" s="7"/>
      <c r="J5" s="32"/>
      <c r="K5" s="21"/>
      <c r="L5" s="22"/>
      <c r="N5" s="32"/>
      <c r="O5" s="21"/>
      <c r="P5" s="21"/>
      <c r="Q5" s="110" t="s">
        <v>7</v>
      </c>
      <c r="R5" s="111"/>
      <c r="S5" s="7"/>
      <c r="T5" s="32"/>
      <c r="U5" s="21"/>
      <c r="V5" s="21"/>
      <c r="W5" s="21"/>
      <c r="X5" s="21"/>
      <c r="Y5" s="99"/>
    </row>
    <row r="6" spans="1:25" ht="16.5" customHeight="1">
      <c r="A6" s="7"/>
      <c r="B6" s="7"/>
      <c r="C6" s="7"/>
      <c r="D6" s="7"/>
      <c r="E6" s="33"/>
      <c r="F6" s="7"/>
      <c r="G6" s="30"/>
      <c r="H6" s="31"/>
      <c r="I6" s="7"/>
      <c r="J6" s="32"/>
      <c r="K6" s="21"/>
      <c r="L6" s="22"/>
      <c r="N6" s="32"/>
      <c r="O6" s="21"/>
      <c r="P6" s="21"/>
      <c r="Q6" s="110"/>
      <c r="R6" s="111"/>
      <c r="S6" s="7"/>
      <c r="T6" s="12">
        <v>100</v>
      </c>
      <c r="U6" s="12">
        <v>105</v>
      </c>
      <c r="V6" s="2"/>
      <c r="W6" s="8"/>
      <c r="X6" s="100" t="s">
        <v>127</v>
      </c>
      <c r="Y6" s="101">
        <f>IF($L$73="Y",Y7*SUM(Y3:Y5),IF($L$73="B",T6/100*SUM(Y3:Y5),IF($L$73="T",U6/100*SUM(Y3:Y5),SUM(Y3:Y5))))</f>
        <v>2341.2749999999996</v>
      </c>
    </row>
    <row r="7" spans="1:25" ht="12.75">
      <c r="A7" s="7"/>
      <c r="B7" s="7"/>
      <c r="C7" s="7"/>
      <c r="D7" s="34" t="s">
        <v>9</v>
      </c>
      <c r="E7" s="35">
        <f>E4+E5</f>
        <v>17502.84952</v>
      </c>
      <c r="F7" s="7"/>
      <c r="G7" s="7"/>
      <c r="H7" s="31"/>
      <c r="I7" s="7"/>
      <c r="J7" s="20" t="s">
        <v>10</v>
      </c>
      <c r="K7" s="26"/>
      <c r="L7" s="27"/>
      <c r="N7" s="32"/>
      <c r="O7" s="21"/>
      <c r="P7" s="21"/>
      <c r="Q7" s="22"/>
      <c r="R7" s="99"/>
      <c r="S7" s="7"/>
      <c r="T7" s="30" t="s">
        <v>143</v>
      </c>
      <c r="U7" s="30" t="s">
        <v>144</v>
      </c>
      <c r="V7" s="7"/>
      <c r="W7" s="7"/>
      <c r="X7" s="7"/>
      <c r="Y7" s="30">
        <f>RANDBETWEEN(T6*10+RANDBETWEEN(0,(U6-T6)*$O$73),U6*10-RANDBETWEEN(0,(U6-T6)*$O$72))/1/1000</f>
        <v>1.007</v>
      </c>
    </row>
    <row r="8" spans="1:25" ht="10.5" customHeight="1">
      <c r="A8" s="7"/>
      <c r="B8" s="7"/>
      <c r="C8" s="7"/>
      <c r="D8" s="7"/>
      <c r="E8" s="36"/>
      <c r="F8" s="7"/>
      <c r="G8" s="37"/>
      <c r="H8" s="31"/>
      <c r="I8" s="7"/>
      <c r="J8" s="32"/>
      <c r="K8" s="21"/>
      <c r="L8" s="22"/>
      <c r="N8" s="32"/>
      <c r="O8" s="21"/>
      <c r="P8" s="21"/>
      <c r="Q8" s="22"/>
      <c r="R8" s="99"/>
      <c r="S8" s="7"/>
      <c r="T8" s="7"/>
      <c r="U8" s="7"/>
      <c r="V8" s="7"/>
      <c r="W8" s="7"/>
      <c r="X8" s="7"/>
      <c r="Y8" s="7"/>
    </row>
    <row r="9" spans="1:25" ht="12.75">
      <c r="A9" s="7" t="s">
        <v>11</v>
      </c>
      <c r="B9" s="38">
        <f>IF(K77=" ",L77,K77)</f>
        <v>1.512</v>
      </c>
      <c r="C9" s="39">
        <f>IF(K78=" ",L78,K78)</f>
        <v>5.934</v>
      </c>
      <c r="D9" s="40">
        <f>IF(K79=" ",L79,K79)</f>
        <v>4.008</v>
      </c>
      <c r="E9" s="29">
        <f>((1+B9/100)*(1+C9/100)*(1+D9/100)-1)*E7</f>
        <v>2073.344465793395</v>
      </c>
      <c r="F9" s="7"/>
      <c r="G9" s="30"/>
      <c r="H9" s="41"/>
      <c r="I9" s="7"/>
      <c r="J9" s="32"/>
      <c r="K9" s="21"/>
      <c r="L9" s="22"/>
      <c r="N9" s="32"/>
      <c r="O9" s="21"/>
      <c r="P9" s="21"/>
      <c r="Q9" s="22"/>
      <c r="R9" s="99"/>
      <c r="S9" s="7"/>
      <c r="T9" s="8" t="s">
        <v>128</v>
      </c>
      <c r="U9" s="2"/>
      <c r="V9" s="10"/>
      <c r="W9" s="10"/>
      <c r="X9" s="10"/>
      <c r="Y9" s="12" t="s">
        <v>2</v>
      </c>
    </row>
    <row r="10" spans="1:25" ht="12.75">
      <c r="A10" s="7" t="s">
        <v>12</v>
      </c>
      <c r="B10" s="7"/>
      <c r="C10" s="7"/>
      <c r="D10" s="7"/>
      <c r="E10" s="42">
        <f>R45</f>
        <v>0</v>
      </c>
      <c r="F10" s="7"/>
      <c r="G10" s="24">
        <f>EEG</f>
        <v>3.3866883963317016</v>
      </c>
      <c r="H10" s="25">
        <f>E10*G10</f>
        <v>0</v>
      </c>
      <c r="I10" s="7"/>
      <c r="J10" s="32" t="s">
        <v>13</v>
      </c>
      <c r="K10" s="26" t="s">
        <v>181</v>
      </c>
      <c r="L10" s="27"/>
      <c r="N10" s="32"/>
      <c r="O10" s="21"/>
      <c r="P10" s="21"/>
      <c r="Q10" s="22"/>
      <c r="R10" s="99"/>
      <c r="S10" s="7"/>
      <c r="T10" s="32" t="s">
        <v>190</v>
      </c>
      <c r="U10" s="16"/>
      <c r="V10" s="16"/>
      <c r="W10" s="16"/>
      <c r="X10" s="16"/>
      <c r="Y10" s="97">
        <v>1284</v>
      </c>
    </row>
    <row r="11" spans="1:25" ht="12.75">
      <c r="A11" s="43" t="s">
        <v>14</v>
      </c>
      <c r="B11" s="7"/>
      <c r="C11" s="7"/>
      <c r="D11" s="28">
        <f>IF(K80=" ",L80,K80)</f>
        <v>7.007</v>
      </c>
      <c r="E11" s="29">
        <f>D11/100*(E7+E10)</f>
        <v>1226.4246658664</v>
      </c>
      <c r="F11" s="7"/>
      <c r="G11" s="30"/>
      <c r="H11" s="31"/>
      <c r="I11" s="7"/>
      <c r="J11" s="20" t="s">
        <v>15</v>
      </c>
      <c r="K11" s="26" t="s">
        <v>182</v>
      </c>
      <c r="L11" s="27"/>
      <c r="N11" s="32"/>
      <c r="O11" s="21"/>
      <c r="P11" s="21"/>
      <c r="Q11" s="22"/>
      <c r="R11" s="99"/>
      <c r="S11" s="7"/>
      <c r="T11" s="32"/>
      <c r="U11" s="21"/>
      <c r="V11" s="21"/>
      <c r="W11" s="21"/>
      <c r="X11" s="21"/>
      <c r="Y11" s="99"/>
    </row>
    <row r="12" spans="1:25" ht="12.75" customHeight="1">
      <c r="A12" s="7"/>
      <c r="B12" s="7"/>
      <c r="C12" s="7"/>
      <c r="D12" s="7"/>
      <c r="E12" s="36"/>
      <c r="F12" s="7"/>
      <c r="G12" s="30"/>
      <c r="H12" s="31"/>
      <c r="I12" s="7"/>
      <c r="J12" s="32"/>
      <c r="K12" s="21"/>
      <c r="L12" s="22"/>
      <c r="N12" s="32"/>
      <c r="O12" s="21"/>
      <c r="P12" s="21"/>
      <c r="Q12" s="22"/>
      <c r="R12" s="99"/>
      <c r="S12" s="7"/>
      <c r="T12" s="32"/>
      <c r="U12" s="21"/>
      <c r="V12" s="21"/>
      <c r="W12" s="21"/>
      <c r="X12" s="21"/>
      <c r="Y12" s="99"/>
    </row>
    <row r="13" spans="1:25" ht="12.75">
      <c r="A13" s="7"/>
      <c r="B13" s="7"/>
      <c r="C13" s="7"/>
      <c r="D13" s="34" t="s">
        <v>16</v>
      </c>
      <c r="E13" s="44">
        <f>E7+E9+E10+E11</f>
        <v>20802.618651659795</v>
      </c>
      <c r="F13" s="7"/>
      <c r="G13" s="7"/>
      <c r="H13" s="31"/>
      <c r="I13" s="7"/>
      <c r="J13" s="20" t="s">
        <v>17</v>
      </c>
      <c r="K13" s="21"/>
      <c r="L13" s="22"/>
      <c r="N13" s="32"/>
      <c r="O13" s="21"/>
      <c r="P13" s="21"/>
      <c r="Q13" s="22"/>
      <c r="R13" s="99"/>
      <c r="S13" s="7"/>
      <c r="T13" s="12">
        <v>100</v>
      </c>
      <c r="U13" s="12">
        <v>105</v>
      </c>
      <c r="V13" s="2"/>
      <c r="W13" s="8"/>
      <c r="X13" s="100" t="s">
        <v>127</v>
      </c>
      <c r="Y13" s="101">
        <f>IF($L$73="Y",Y14*SUM(Y10:Y12),IF($L$73="B",T13/100*SUM(Y10:Y12),IF($L$73="T",U13/100*SUM(Y10:Y12),SUM(Y10:Y12))))</f>
        <v>1325.088</v>
      </c>
    </row>
    <row r="14" spans="1:25" ht="11.25" customHeight="1">
      <c r="A14" s="7"/>
      <c r="B14" s="7"/>
      <c r="C14" s="7"/>
      <c r="D14" s="7"/>
      <c r="E14" s="36"/>
      <c r="F14" s="7"/>
      <c r="G14" s="30"/>
      <c r="H14" s="31"/>
      <c r="I14" s="7"/>
      <c r="J14" s="32"/>
      <c r="K14" s="21"/>
      <c r="L14" s="22"/>
      <c r="N14" s="32"/>
      <c r="O14" s="21"/>
      <c r="P14" s="21"/>
      <c r="Q14" s="22"/>
      <c r="R14" s="99"/>
      <c r="S14" s="7"/>
      <c r="T14" s="30" t="s">
        <v>143</v>
      </c>
      <c r="U14" s="30" t="s">
        <v>144</v>
      </c>
      <c r="V14" s="7"/>
      <c r="W14" s="7"/>
      <c r="X14" s="7"/>
      <c r="Y14" s="30">
        <f>RANDBETWEEN(T13*10+RANDBETWEEN(0,(U13-T13)*$O$73),U13*10-RANDBETWEEN(0,(U13-T13)*$O$72))/1/1000</f>
        <v>1.032</v>
      </c>
    </row>
    <row r="15" spans="1:25" ht="12.75">
      <c r="A15" s="45" t="s">
        <v>18</v>
      </c>
      <c r="B15" s="7" t="s">
        <v>19</v>
      </c>
      <c r="C15" s="7"/>
      <c r="D15" s="46">
        <f>IF(K81=" ",L81,K81)</f>
        <v>47.088</v>
      </c>
      <c r="E15" s="29">
        <f>D15/100*E13</f>
        <v>9795.537070693565</v>
      </c>
      <c r="F15" s="7"/>
      <c r="G15" s="30"/>
      <c r="H15" s="47"/>
      <c r="I15" s="7"/>
      <c r="J15" s="20" t="s">
        <v>20</v>
      </c>
      <c r="K15" s="26" t="s">
        <v>7</v>
      </c>
      <c r="L15" s="27"/>
      <c r="N15" s="32"/>
      <c r="O15" s="21"/>
      <c r="P15" s="21"/>
      <c r="Q15" s="22"/>
      <c r="R15" s="99"/>
      <c r="S15" s="7"/>
      <c r="T15" s="7"/>
      <c r="U15" s="7"/>
      <c r="V15" s="7"/>
      <c r="W15" s="7"/>
      <c r="X15" s="7"/>
      <c r="Y15" s="7"/>
    </row>
    <row r="16" spans="1:25" ht="12.75">
      <c r="A16" s="45" t="s">
        <v>21</v>
      </c>
      <c r="B16" s="7" t="s">
        <v>22</v>
      </c>
      <c r="C16" s="7"/>
      <c r="D16" s="46">
        <f>IF(K82=" ",L82,K82)</f>
        <v>21.669999999999998</v>
      </c>
      <c r="E16" s="29">
        <f>D16/100*E13</f>
        <v>4507.927461814677</v>
      </c>
      <c r="F16" s="7"/>
      <c r="G16" s="7"/>
      <c r="H16" s="47"/>
      <c r="I16" s="7"/>
      <c r="J16" s="32" t="s">
        <v>23</v>
      </c>
      <c r="K16" s="48">
        <v>38398</v>
      </c>
      <c r="L16" s="27"/>
      <c r="N16" s="32"/>
      <c r="O16" s="21"/>
      <c r="P16" s="21"/>
      <c r="Q16" s="22"/>
      <c r="R16" s="99"/>
      <c r="S16" s="7"/>
      <c r="T16" s="8" t="s">
        <v>129</v>
      </c>
      <c r="U16" s="2"/>
      <c r="V16" s="10"/>
      <c r="W16" s="10"/>
      <c r="X16" s="10"/>
      <c r="Y16" s="12" t="s">
        <v>2</v>
      </c>
    </row>
    <row r="17" spans="1:25" ht="12.75">
      <c r="A17" s="45" t="s">
        <v>24</v>
      </c>
      <c r="B17" s="7" t="s">
        <v>25</v>
      </c>
      <c r="C17" s="7"/>
      <c r="D17" s="49">
        <f>IF(K83=" ",L83,K83)</f>
        <v>9.054</v>
      </c>
      <c r="E17" s="29">
        <f>D17/100*E13</f>
        <v>1883.469092721278</v>
      </c>
      <c r="F17" s="7"/>
      <c r="G17" s="30"/>
      <c r="H17" s="47"/>
      <c r="I17" s="7"/>
      <c r="J17" s="32"/>
      <c r="K17" s="21"/>
      <c r="L17" s="22"/>
      <c r="N17" s="32"/>
      <c r="O17" s="21"/>
      <c r="P17" s="21"/>
      <c r="Q17" s="22"/>
      <c r="R17" s="99"/>
      <c r="S17" s="7"/>
      <c r="T17" s="32" t="s">
        <v>191</v>
      </c>
      <c r="U17" s="16"/>
      <c r="V17" s="16"/>
      <c r="W17" s="16"/>
      <c r="X17" s="16"/>
      <c r="Y17" s="97">
        <v>400</v>
      </c>
    </row>
    <row r="18" spans="1:25" ht="12.75" customHeight="1">
      <c r="A18" s="45"/>
      <c r="B18" s="7"/>
      <c r="C18" s="7"/>
      <c r="D18" s="50"/>
      <c r="E18" s="29"/>
      <c r="F18" s="7"/>
      <c r="G18" s="30"/>
      <c r="H18" s="47"/>
      <c r="I18" s="7"/>
      <c r="J18" s="32"/>
      <c r="K18" s="21"/>
      <c r="L18" s="22"/>
      <c r="N18" s="32"/>
      <c r="O18" s="21"/>
      <c r="P18" s="21"/>
      <c r="Q18" s="22"/>
      <c r="R18" s="99"/>
      <c r="S18" s="7"/>
      <c r="T18" s="32"/>
      <c r="U18" s="21"/>
      <c r="V18" s="21"/>
      <c r="W18" s="21"/>
      <c r="X18" s="21"/>
      <c r="Y18" s="99"/>
    </row>
    <row r="19" spans="1:25" ht="12.75">
      <c r="A19" s="7" t="s">
        <v>26</v>
      </c>
      <c r="B19" s="7"/>
      <c r="C19" s="7"/>
      <c r="D19" s="7"/>
      <c r="E19" s="42">
        <f>R53</f>
        <v>2392.58</v>
      </c>
      <c r="F19" s="7"/>
      <c r="G19" s="24">
        <f>IPG</f>
        <v>1.9046455786626895</v>
      </c>
      <c r="H19" s="25">
        <f>E19*G19</f>
        <v>4557.016918596777</v>
      </c>
      <c r="I19" s="7"/>
      <c r="J19" s="20" t="s">
        <v>27</v>
      </c>
      <c r="K19" s="21"/>
      <c r="L19" s="22"/>
      <c r="N19" s="32"/>
      <c r="O19" s="21"/>
      <c r="P19" s="21"/>
      <c r="Q19" s="22"/>
      <c r="R19" s="99"/>
      <c r="S19" s="7"/>
      <c r="T19" s="32"/>
      <c r="U19" s="21"/>
      <c r="V19" s="21"/>
      <c r="W19" s="21"/>
      <c r="X19" s="21"/>
      <c r="Y19" s="99"/>
    </row>
    <row r="20" spans="1:25" ht="12.75">
      <c r="A20" s="7" t="s">
        <v>28</v>
      </c>
      <c r="B20" s="7"/>
      <c r="C20" s="7"/>
      <c r="D20" s="7"/>
      <c r="E20" s="42">
        <f>Y6</f>
        <v>2341.2749999999996</v>
      </c>
      <c r="F20" s="7"/>
      <c r="G20" s="24">
        <f>IPG</f>
        <v>1.9046455786626895</v>
      </c>
      <c r="H20" s="25">
        <f>E20*G20</f>
        <v>4459.2990771834875</v>
      </c>
      <c r="I20" s="7"/>
      <c r="J20" s="20" t="s">
        <v>29</v>
      </c>
      <c r="K20" s="21"/>
      <c r="L20" s="51"/>
      <c r="N20" s="32"/>
      <c r="O20" s="21"/>
      <c r="P20" s="21"/>
      <c r="Q20" s="22"/>
      <c r="R20" s="99"/>
      <c r="S20" s="7"/>
      <c r="T20" s="12">
        <v>100</v>
      </c>
      <c r="U20" s="12">
        <v>100</v>
      </c>
      <c r="V20" s="2"/>
      <c r="W20" s="8"/>
      <c r="X20" s="100" t="s">
        <v>127</v>
      </c>
      <c r="Y20" s="101">
        <f>-IF($L$73="Y",Y21*SUM(Y17:Y19),IF($L$73="B",T20/100*SUM(Y17:Y19),IF($L$73="T",U20/100*SUM(Y17:Y19),SUM(Y17:Y19))))</f>
        <v>-400</v>
      </c>
    </row>
    <row r="21" spans="1:25" ht="12.75">
      <c r="A21" s="7" t="s">
        <v>30</v>
      </c>
      <c r="B21" s="7"/>
      <c r="C21" s="7"/>
      <c r="D21" s="7"/>
      <c r="E21" s="42">
        <f>Y13</f>
        <v>1325.088</v>
      </c>
      <c r="F21" s="7"/>
      <c r="G21" s="24">
        <f>IPG</f>
        <v>1.9046455786626895</v>
      </c>
      <c r="H21" s="25">
        <f>E21*G21</f>
        <v>2523.823000538986</v>
      </c>
      <c r="I21" s="7"/>
      <c r="J21" s="20" t="s">
        <v>31</v>
      </c>
      <c r="K21" s="52" t="s">
        <v>183</v>
      </c>
      <c r="L21" s="27"/>
      <c r="N21" s="32"/>
      <c r="O21" s="21"/>
      <c r="P21" s="21"/>
      <c r="Q21" s="22"/>
      <c r="R21" s="99"/>
      <c r="S21" s="7"/>
      <c r="T21" s="30" t="s">
        <v>143</v>
      </c>
      <c r="U21" s="30" t="s">
        <v>144</v>
      </c>
      <c r="V21" s="7"/>
      <c r="W21" s="7"/>
      <c r="X21" s="7"/>
      <c r="Y21" s="30">
        <f>RANDBETWEEN(T20*10+RANDBETWEEN(0,(U20-T20)*$O$73),U20*10-RANDBETWEEN(0,(U20-T20)*$O$72))/1/1000</f>
        <v>1</v>
      </c>
    </row>
    <row r="22" spans="1:25" ht="12.75">
      <c r="A22" s="7" t="s">
        <v>32</v>
      </c>
      <c r="B22" s="7"/>
      <c r="C22" s="7"/>
      <c r="D22" s="49">
        <f>IF(K84=" ",L84,K84)</f>
        <v>0</v>
      </c>
      <c r="E22" s="29">
        <f>D22/100*E13</f>
        <v>0</v>
      </c>
      <c r="F22" s="7"/>
      <c r="G22" s="30"/>
      <c r="H22" s="47"/>
      <c r="I22" s="7"/>
      <c r="J22" s="32" t="s">
        <v>33</v>
      </c>
      <c r="K22" s="26"/>
      <c r="L22" s="27"/>
      <c r="N22" s="32"/>
      <c r="O22" s="21"/>
      <c r="P22" s="21"/>
      <c r="Q22" s="22"/>
      <c r="R22" s="99"/>
      <c r="S22" s="7"/>
      <c r="T22" s="7"/>
      <c r="U22" s="7"/>
      <c r="V22" s="7"/>
      <c r="W22" s="7"/>
      <c r="X22" s="7"/>
      <c r="Y22" s="7"/>
    </row>
    <row r="23" spans="1:25" ht="12.75">
      <c r="A23" s="7" t="s">
        <v>34</v>
      </c>
      <c r="B23" s="7"/>
      <c r="C23" s="7"/>
      <c r="D23" s="7"/>
      <c r="E23" s="42">
        <f>Y20</f>
        <v>-400</v>
      </c>
      <c r="F23" s="7"/>
      <c r="G23" s="24">
        <f>IPG</f>
        <v>1.9046455786626895</v>
      </c>
      <c r="H23" s="25">
        <f>E23*G23</f>
        <v>-761.8582314650757</v>
      </c>
      <c r="I23" s="7"/>
      <c r="J23" s="32" t="s">
        <v>35</v>
      </c>
      <c r="K23" s="21"/>
      <c r="L23" s="22"/>
      <c r="N23" s="32"/>
      <c r="O23" s="21"/>
      <c r="P23" s="21"/>
      <c r="Q23" s="22"/>
      <c r="R23" s="99"/>
      <c r="S23" s="7"/>
      <c r="T23" s="8" t="s">
        <v>130</v>
      </c>
      <c r="U23" s="2"/>
      <c r="V23" s="10"/>
      <c r="W23" s="10"/>
      <c r="X23" s="10"/>
      <c r="Y23" s="12" t="s">
        <v>2</v>
      </c>
    </row>
    <row r="24" spans="1:25" ht="11.25" customHeight="1">
      <c r="A24" s="7"/>
      <c r="B24" s="7"/>
      <c r="C24" s="7"/>
      <c r="D24" s="7"/>
      <c r="E24" s="33"/>
      <c r="F24" s="7"/>
      <c r="G24" s="30"/>
      <c r="H24" s="47"/>
      <c r="I24" s="7"/>
      <c r="J24" s="32"/>
      <c r="K24" s="21"/>
      <c r="L24" s="22"/>
      <c r="N24" s="32"/>
      <c r="O24" s="21"/>
      <c r="P24" s="21"/>
      <c r="Q24" s="22"/>
      <c r="R24" s="99"/>
      <c r="S24" s="7"/>
      <c r="T24" s="32" t="s">
        <v>192</v>
      </c>
      <c r="U24" s="16"/>
      <c r="V24" s="16"/>
      <c r="W24" s="16"/>
      <c r="X24" s="16"/>
      <c r="Y24" s="97">
        <v>994</v>
      </c>
    </row>
    <row r="25" spans="1:25" ht="12.75">
      <c r="A25" s="7"/>
      <c r="B25" s="7"/>
      <c r="C25" s="7"/>
      <c r="D25" s="34" t="s">
        <v>36</v>
      </c>
      <c r="E25" s="35">
        <f>E13+E15+E16+E17+E19+E20+E21+E22+E23</f>
        <v>42648.49527688932</v>
      </c>
      <c r="F25" s="7"/>
      <c r="G25" s="7"/>
      <c r="H25" s="47"/>
      <c r="I25" s="7"/>
      <c r="J25" s="20" t="s">
        <v>184</v>
      </c>
      <c r="K25" s="53"/>
      <c r="L25" s="51"/>
      <c r="N25" s="32"/>
      <c r="O25" s="21"/>
      <c r="P25" s="21"/>
      <c r="Q25" s="22"/>
      <c r="R25" s="99"/>
      <c r="S25" s="7"/>
      <c r="T25" s="32"/>
      <c r="U25" s="21"/>
      <c r="V25" s="21"/>
      <c r="W25" s="21"/>
      <c r="X25" s="21"/>
      <c r="Y25" s="99"/>
    </row>
    <row r="26" spans="1:25" ht="11.25" customHeight="1">
      <c r="A26" s="7"/>
      <c r="B26" s="7"/>
      <c r="C26" s="7"/>
      <c r="D26" s="7"/>
      <c r="E26" s="36"/>
      <c r="F26" s="7"/>
      <c r="G26" s="30"/>
      <c r="H26" s="47"/>
      <c r="I26" s="7"/>
      <c r="J26" s="20"/>
      <c r="K26" s="53"/>
      <c r="L26" s="51"/>
      <c r="N26" s="32"/>
      <c r="O26" s="21"/>
      <c r="P26" s="21"/>
      <c r="Q26" s="22"/>
      <c r="R26" s="99"/>
      <c r="S26" s="7"/>
      <c r="T26" s="32"/>
      <c r="U26" s="21"/>
      <c r="V26" s="21"/>
      <c r="W26" s="21"/>
      <c r="X26" s="21"/>
      <c r="Y26" s="99"/>
    </row>
    <row r="27" spans="1:25" ht="12.75">
      <c r="A27" s="7" t="s">
        <v>37</v>
      </c>
      <c r="B27" s="7"/>
      <c r="C27" s="7"/>
      <c r="D27" s="7"/>
      <c r="E27" s="42">
        <f>Y27</f>
        <v>1032.7659999999998</v>
      </c>
      <c r="F27" s="7"/>
      <c r="G27" s="24">
        <f>IPG</f>
        <v>1.9046455786626895</v>
      </c>
      <c r="H27" s="25">
        <f>E27*G27</f>
        <v>1967.0531956931509</v>
      </c>
      <c r="I27" s="7"/>
      <c r="J27" s="20" t="s">
        <v>185</v>
      </c>
      <c r="K27" s="53"/>
      <c r="L27" s="51"/>
      <c r="N27" s="32"/>
      <c r="O27" s="21"/>
      <c r="P27" s="21"/>
      <c r="Q27" s="22"/>
      <c r="R27" s="99"/>
      <c r="S27" s="7"/>
      <c r="T27" s="12">
        <v>100</v>
      </c>
      <c r="U27" s="12">
        <v>105</v>
      </c>
      <c r="V27" s="2"/>
      <c r="W27" s="8"/>
      <c r="X27" s="100" t="s">
        <v>127</v>
      </c>
      <c r="Y27" s="101">
        <f>IF($L$73="Y",Y28*SUM(Y24:Y26),IF($L$73="B",T27/100*SUM(Y24:Y26),IF($L$73="T",U27/100*SUM(Y24:Y26),SUM(Y24:Y26))))</f>
        <v>1032.7659999999998</v>
      </c>
    </row>
    <row r="28" spans="1:25" ht="12.75">
      <c r="A28" s="7" t="s">
        <v>38</v>
      </c>
      <c r="B28" s="7"/>
      <c r="C28" s="7"/>
      <c r="D28" s="7"/>
      <c r="E28" s="42">
        <f>Y33</f>
        <v>337.64399999999995</v>
      </c>
      <c r="F28" s="7"/>
      <c r="G28" s="24">
        <f>IPG</f>
        <v>1.9046455786626895</v>
      </c>
      <c r="H28" s="25">
        <f>E28*G28</f>
        <v>643.0921517619851</v>
      </c>
      <c r="I28" s="7"/>
      <c r="J28" s="20" t="s">
        <v>186</v>
      </c>
      <c r="K28" s="53"/>
      <c r="L28" s="51"/>
      <c r="N28" s="32"/>
      <c r="O28" s="21"/>
      <c r="P28" s="21"/>
      <c r="Q28" s="22"/>
      <c r="R28" s="99"/>
      <c r="S28" s="7"/>
      <c r="T28" s="30" t="s">
        <v>143</v>
      </c>
      <c r="U28" s="30" t="s">
        <v>144</v>
      </c>
      <c r="V28" s="7"/>
      <c r="W28" s="7"/>
      <c r="X28" s="7"/>
      <c r="Y28" s="30">
        <f>RANDBETWEEN(T27*10+RANDBETWEEN(0,(U27-T27)*$O$73),U27*10-RANDBETWEEN(0,(U27-T27)*$O$72))/1/1000</f>
        <v>1.039</v>
      </c>
    </row>
    <row r="29" spans="1:25" ht="12.75">
      <c r="A29" s="7" t="s">
        <v>39</v>
      </c>
      <c r="B29" s="7"/>
      <c r="C29" s="7"/>
      <c r="D29" s="7"/>
      <c r="E29" s="42">
        <f>Y40</f>
        <v>3192.16</v>
      </c>
      <c r="F29" s="7"/>
      <c r="G29" s="24">
        <f>IPG</f>
        <v>1.9046455786626895</v>
      </c>
      <c r="H29" s="25">
        <f>E29*G29</f>
        <v>6079.9334303838905</v>
      </c>
      <c r="I29" s="7"/>
      <c r="J29" s="54" t="s">
        <v>187</v>
      </c>
      <c r="K29" s="52"/>
      <c r="L29" s="55"/>
      <c r="N29" s="32"/>
      <c r="O29" s="21"/>
      <c r="P29" s="21"/>
      <c r="Q29" s="22"/>
      <c r="R29" s="99"/>
      <c r="S29" s="7"/>
      <c r="T29" s="7"/>
      <c r="U29" s="7"/>
      <c r="V29" s="7"/>
      <c r="W29" s="7"/>
      <c r="X29" s="7"/>
      <c r="Y29" s="7"/>
    </row>
    <row r="30" spans="1:25" ht="12.75">
      <c r="A30" s="7" t="s">
        <v>40</v>
      </c>
      <c r="B30" s="7"/>
      <c r="C30" s="7"/>
      <c r="D30" s="7"/>
      <c r="E30" s="42">
        <f>Y47</f>
        <v>0</v>
      </c>
      <c r="F30" s="7"/>
      <c r="G30" s="24">
        <f>IPG</f>
        <v>1.9046455786626895</v>
      </c>
      <c r="H30" s="25">
        <f>E30*G30</f>
        <v>0</v>
      </c>
      <c r="I30" s="7"/>
      <c r="J30" s="56" t="s">
        <v>41</v>
      </c>
      <c r="K30" s="57" t="s">
        <v>7</v>
      </c>
      <c r="L30" s="58">
        <f>IF(K30=1," ",1)</f>
        <v>1</v>
      </c>
      <c r="N30" s="32"/>
      <c r="O30" s="21"/>
      <c r="P30" s="21"/>
      <c r="Q30" s="22"/>
      <c r="R30" s="99"/>
      <c r="S30" s="7"/>
      <c r="T30" s="8" t="s">
        <v>131</v>
      </c>
      <c r="U30" s="10"/>
      <c r="V30" s="10"/>
      <c r="W30" s="10"/>
      <c r="X30" s="10"/>
      <c r="Y30" s="12" t="s">
        <v>2</v>
      </c>
    </row>
    <row r="31" spans="1:25" ht="13.5" customHeight="1">
      <c r="A31" s="7"/>
      <c r="B31" s="7"/>
      <c r="C31" s="7"/>
      <c r="D31" s="7"/>
      <c r="E31" s="59"/>
      <c r="F31" s="7"/>
      <c r="G31" s="30"/>
      <c r="H31" s="47"/>
      <c r="I31" s="7"/>
      <c r="J31" s="60"/>
      <c r="K31" s="61"/>
      <c r="L31" s="58"/>
      <c r="N31" s="32"/>
      <c r="O31" s="21"/>
      <c r="P31" s="21"/>
      <c r="Q31" s="22"/>
      <c r="R31" s="99"/>
      <c r="S31" s="7"/>
      <c r="T31" s="32" t="s">
        <v>193</v>
      </c>
      <c r="U31" s="16"/>
      <c r="V31" s="16"/>
      <c r="W31" s="16"/>
      <c r="X31" s="16"/>
      <c r="Y31" s="97">
        <v>332</v>
      </c>
    </row>
    <row r="32" spans="1:25" ht="12.75">
      <c r="A32" s="7"/>
      <c r="B32" s="7"/>
      <c r="C32" s="7"/>
      <c r="D32" s="34" t="s">
        <v>36</v>
      </c>
      <c r="E32" s="35">
        <f>E25+E27+E28+E29+E30</f>
        <v>47211.06527688932</v>
      </c>
      <c r="F32" s="7"/>
      <c r="G32" s="30"/>
      <c r="H32" s="47"/>
      <c r="I32" s="7"/>
      <c r="J32" s="62" t="s">
        <v>42</v>
      </c>
      <c r="K32" s="63" t="s">
        <v>7</v>
      </c>
      <c r="L32" s="58">
        <f>IF(K32=1," ",1)</f>
        <v>1</v>
      </c>
      <c r="N32" s="32"/>
      <c r="O32" s="21"/>
      <c r="P32" s="21"/>
      <c r="Q32" s="22"/>
      <c r="R32" s="99"/>
      <c r="S32" s="7"/>
      <c r="T32" s="32"/>
      <c r="U32" s="21"/>
      <c r="V32" s="21"/>
      <c r="W32" s="21"/>
      <c r="X32" s="21"/>
      <c r="Y32" s="99"/>
    </row>
    <row r="33" spans="1:25" ht="12.75" customHeight="1">
      <c r="A33" s="7"/>
      <c r="B33" s="7"/>
      <c r="C33" s="7"/>
      <c r="D33" s="7"/>
      <c r="E33" s="36"/>
      <c r="F33" s="7"/>
      <c r="G33" s="30"/>
      <c r="H33" s="47"/>
      <c r="I33" s="7"/>
      <c r="J33" s="7"/>
      <c r="K33" s="7"/>
      <c r="L33" s="7"/>
      <c r="N33" s="32"/>
      <c r="O33" s="21"/>
      <c r="P33" s="21"/>
      <c r="Q33" s="22"/>
      <c r="R33" s="99"/>
      <c r="S33" s="7"/>
      <c r="T33" s="12">
        <v>100</v>
      </c>
      <c r="U33" s="12">
        <v>105</v>
      </c>
      <c r="V33" s="2"/>
      <c r="W33" s="8"/>
      <c r="X33" s="100" t="s">
        <v>127</v>
      </c>
      <c r="Y33" s="101">
        <f>IF($L$73="Y",Y34*SUM(Y30:Y32),IF($L$73="B",T33/100*SUM(Y30:Y32),IF($L$73="T",U33/100*SUM(Y30:Y32),SUM(Y30:Y32))))</f>
        <v>337.64399999999995</v>
      </c>
    </row>
    <row r="34" spans="1:25" ht="12.75">
      <c r="A34" s="7" t="s">
        <v>43</v>
      </c>
      <c r="B34" s="7"/>
      <c r="C34" s="7"/>
      <c r="D34" s="49">
        <f>IF(K85=" ",L85,K85)</f>
        <v>0</v>
      </c>
      <c r="E34" s="29">
        <f>D34/100*E32</f>
        <v>0</v>
      </c>
      <c r="F34" s="7"/>
      <c r="G34" s="7"/>
      <c r="H34" s="47"/>
      <c r="I34" s="7"/>
      <c r="J34" s="7"/>
      <c r="K34" s="7"/>
      <c r="L34" s="7"/>
      <c r="N34" s="32"/>
      <c r="O34" s="21"/>
      <c r="P34" s="21"/>
      <c r="Q34" s="22"/>
      <c r="R34" s="99"/>
      <c r="S34" s="7"/>
      <c r="T34" s="30" t="s">
        <v>143</v>
      </c>
      <c r="U34" s="30" t="s">
        <v>144</v>
      </c>
      <c r="V34" s="7"/>
      <c r="W34" s="7"/>
      <c r="X34" s="7"/>
      <c r="Y34" s="30">
        <f>RANDBETWEEN(T33*10+RANDBETWEEN(0,(U33-T33)*$O$73),U33*10-RANDBETWEEN(0,(U33-T33)*$O$72))/1/1000</f>
        <v>1.017</v>
      </c>
    </row>
    <row r="35" spans="1:25" ht="12.75">
      <c r="A35" s="18" t="s">
        <v>44</v>
      </c>
      <c r="B35" s="7"/>
      <c r="C35" s="7"/>
      <c r="D35" s="49">
        <f>IF(K86=" ",L86,K86)</f>
        <v>0.1978</v>
      </c>
      <c r="E35" s="29">
        <f>D35/100*E32</f>
        <v>93.38348711768708</v>
      </c>
      <c r="F35" s="7"/>
      <c r="G35" s="7"/>
      <c r="H35" s="47"/>
      <c r="I35" s="7"/>
      <c r="J35" s="7"/>
      <c r="K35" s="64" t="s">
        <v>45</v>
      </c>
      <c r="L35" s="7"/>
      <c r="N35" s="32"/>
      <c r="O35" s="21"/>
      <c r="P35" s="21"/>
      <c r="Q35" s="22"/>
      <c r="R35" s="99"/>
      <c r="S35" s="7"/>
      <c r="T35" s="7"/>
      <c r="U35" s="7"/>
      <c r="V35" s="7"/>
      <c r="W35" s="7"/>
      <c r="X35" s="7"/>
      <c r="Y35" s="7"/>
    </row>
    <row r="36" spans="1:25" ht="12.75">
      <c r="A36" s="7" t="s">
        <v>46</v>
      </c>
      <c r="B36" s="7"/>
      <c r="C36" s="7"/>
      <c r="D36" s="49">
        <f>IF(K87=" ",L87,K87)</f>
        <v>0</v>
      </c>
      <c r="E36" s="29">
        <f>D36/100*E32</f>
        <v>0</v>
      </c>
      <c r="F36" s="7"/>
      <c r="G36" s="7"/>
      <c r="H36" s="47"/>
      <c r="I36" s="7"/>
      <c r="J36" s="65" t="s">
        <v>47</v>
      </c>
      <c r="K36" s="10"/>
      <c r="L36" s="11"/>
      <c r="N36" s="32"/>
      <c r="O36" s="21"/>
      <c r="P36" s="21"/>
      <c r="Q36" s="22"/>
      <c r="R36" s="99"/>
      <c r="S36" s="7"/>
      <c r="T36" s="8" t="s">
        <v>132</v>
      </c>
      <c r="U36" s="2"/>
      <c r="V36" s="10"/>
      <c r="W36" s="10"/>
      <c r="X36" s="10"/>
      <c r="Y36" s="12" t="s">
        <v>2</v>
      </c>
    </row>
    <row r="37" spans="1:25" ht="12.75" customHeight="1">
      <c r="A37" s="7"/>
      <c r="B37" s="7"/>
      <c r="C37" s="7"/>
      <c r="D37" s="7"/>
      <c r="E37" s="33"/>
      <c r="F37" s="7"/>
      <c r="G37" s="7"/>
      <c r="H37" s="47"/>
      <c r="I37" s="7"/>
      <c r="J37" s="7"/>
      <c r="K37" s="7"/>
      <c r="L37" s="7"/>
      <c r="N37" s="12">
        <v>100</v>
      </c>
      <c r="O37" s="12">
        <v>110</v>
      </c>
      <c r="P37" s="8"/>
      <c r="Q37" s="102" t="s">
        <v>133</v>
      </c>
      <c r="R37" s="101">
        <f>IF($L$73="Y",R38*SUM(R4:R36),IF($L$73="B",N37/100*SUM(R4:R36),IF($L$73="T",O37/100*SUM(R4:R36),SUM(R4:R36))))</f>
        <v>16653.52</v>
      </c>
      <c r="S37" s="7"/>
      <c r="T37" s="32" t="s">
        <v>134</v>
      </c>
      <c r="U37" s="16"/>
      <c r="V37" s="16"/>
      <c r="W37" s="16"/>
      <c r="X37" s="16"/>
      <c r="Y37" s="97">
        <v>2003</v>
      </c>
    </row>
    <row r="38" spans="1:25" ht="12" customHeight="1">
      <c r="A38" s="7"/>
      <c r="B38" s="7"/>
      <c r="C38" s="7"/>
      <c r="D38" s="34" t="s">
        <v>48</v>
      </c>
      <c r="E38" s="35">
        <f>E32+E34+E35+E36</f>
        <v>47304.44876400701</v>
      </c>
      <c r="F38" s="7"/>
      <c r="G38" s="7"/>
      <c r="H38" s="47"/>
      <c r="I38" s="7"/>
      <c r="J38" s="7"/>
      <c r="K38" s="7"/>
      <c r="L38" s="7"/>
      <c r="N38" s="30" t="s">
        <v>143</v>
      </c>
      <c r="O38" s="30" t="s">
        <v>144</v>
      </c>
      <c r="P38" s="7"/>
      <c r="Q38" s="7"/>
      <c r="R38" s="30">
        <f>RANDBETWEEN(N37*10+RANDBETWEEN(0,(O37-N37)*$O$73),O37*10-RANDBETWEEN(0,(O37-N37)*$O$72))/1/1000</f>
        <v>1.04</v>
      </c>
      <c r="S38" s="7"/>
      <c r="T38" s="32" t="s">
        <v>194</v>
      </c>
      <c r="U38" s="21"/>
      <c r="V38" s="21"/>
      <c r="W38" s="21"/>
      <c r="X38" s="21"/>
      <c r="Y38" s="99">
        <v>807</v>
      </c>
    </row>
    <row r="39" spans="1:25" ht="12.75">
      <c r="A39" s="7"/>
      <c r="B39" s="66" t="s">
        <v>49</v>
      </c>
      <c r="C39" s="67">
        <f>LA4/(LA4+FM_4+WM4)*100</f>
        <v>27.853816198680992</v>
      </c>
      <c r="D39" s="7"/>
      <c r="E39" s="7"/>
      <c r="F39" s="7"/>
      <c r="G39" s="30"/>
      <c r="H39" s="36"/>
      <c r="I39" s="7"/>
      <c r="J39" s="34" t="s">
        <v>50</v>
      </c>
      <c r="K39" s="68">
        <f>L39/E68*100</f>
        <v>24.905585682296927</v>
      </c>
      <c r="L39" s="69">
        <f>LA10*SIF*XR</f>
        <v>22701.52770793378</v>
      </c>
      <c r="N39" s="7"/>
      <c r="O39" s="7"/>
      <c r="P39" s="7"/>
      <c r="Q39" s="7"/>
      <c r="R39" s="7"/>
      <c r="S39" s="7"/>
      <c r="T39" s="32"/>
      <c r="U39" s="21"/>
      <c r="V39" s="21"/>
      <c r="W39" s="21"/>
      <c r="X39" s="21"/>
      <c r="Y39" s="99"/>
    </row>
    <row r="40" spans="1:25" ht="12.75">
      <c r="A40" s="7"/>
      <c r="B40" s="66" t="s">
        <v>51</v>
      </c>
      <c r="C40" s="67">
        <f>WM4/(FM_4+LA4+WM4)*100</f>
        <v>50.58996250595504</v>
      </c>
      <c r="D40" s="7"/>
      <c r="E40" s="7"/>
      <c r="F40" s="7"/>
      <c r="G40" s="30"/>
      <c r="H40" s="36"/>
      <c r="I40" s="7"/>
      <c r="J40" s="34" t="s">
        <v>52</v>
      </c>
      <c r="K40" s="68">
        <f>L40/E68*100</f>
        <v>31.501706094374953</v>
      </c>
      <c r="L40" s="69">
        <f>WM10*SIF*XR</f>
        <v>28713.914335167152</v>
      </c>
      <c r="N40" s="8" t="s">
        <v>135</v>
      </c>
      <c r="O40" s="10"/>
      <c r="P40" s="10"/>
      <c r="Q40" s="11"/>
      <c r="R40" s="12" t="s">
        <v>2</v>
      </c>
      <c r="S40" s="7"/>
      <c r="T40" s="12">
        <v>100</v>
      </c>
      <c r="U40" s="12">
        <v>125</v>
      </c>
      <c r="V40" s="2"/>
      <c r="W40" s="8"/>
      <c r="X40" s="100" t="s">
        <v>127</v>
      </c>
      <c r="Y40" s="101">
        <f>IF($L$73="Y",Y41*SUM(Y37:Y39),IF($L$73="B",T40/100*SUM(Y37:Y39),IF($L$73="T",U40/100*SUM(Y37:Y39),SUM(Y37:Y39))))</f>
        <v>3192.16</v>
      </c>
    </row>
    <row r="41" spans="1:25" ht="12.75">
      <c r="A41" s="7"/>
      <c r="B41" s="66" t="s">
        <v>53</v>
      </c>
      <c r="C41" s="67">
        <f>FM_4/(FM_4+LA4+WM4)*100</f>
        <v>21.55622129536396</v>
      </c>
      <c r="D41" s="7"/>
      <c r="E41" s="7"/>
      <c r="F41" s="7"/>
      <c r="G41" s="7"/>
      <c r="H41" s="36"/>
      <c r="I41" s="7"/>
      <c r="J41" s="34" t="s">
        <v>54</v>
      </c>
      <c r="K41" s="68">
        <f>L41/E68*100</f>
        <v>18.24358223266121</v>
      </c>
      <c r="L41" s="69">
        <f>FM_10*SIF*XR</f>
        <v>16629.088463521373</v>
      </c>
      <c r="N41" s="32" t="s">
        <v>136</v>
      </c>
      <c r="O41" s="21"/>
      <c r="P41" s="21"/>
      <c r="Q41" s="22"/>
      <c r="R41" s="99" t="s">
        <v>7</v>
      </c>
      <c r="S41" s="7"/>
      <c r="T41" s="30" t="s">
        <v>143</v>
      </c>
      <c r="U41" s="30" t="s">
        <v>144</v>
      </c>
      <c r="V41" s="7"/>
      <c r="W41" s="7"/>
      <c r="X41" s="7"/>
      <c r="Y41" s="30">
        <f>RANDBETWEEN(T40*10+RANDBETWEEN(0,(U40-T40)*$O$73),U40*10-RANDBETWEEN(0,(U40-T40)*$O$72))/1/1000</f>
        <v>1.136</v>
      </c>
    </row>
    <row r="42" spans="1:25" ht="11.25" customHeight="1">
      <c r="A42" s="7"/>
      <c r="B42" s="66"/>
      <c r="C42" s="67"/>
      <c r="D42" s="50"/>
      <c r="E42" s="70"/>
      <c r="F42" s="7"/>
      <c r="G42" s="30"/>
      <c r="H42" s="7"/>
      <c r="I42" s="7"/>
      <c r="J42" s="7"/>
      <c r="K42" s="7"/>
      <c r="L42" s="47"/>
      <c r="N42" s="32"/>
      <c r="O42" s="21"/>
      <c r="P42" s="21"/>
      <c r="Q42" s="22"/>
      <c r="R42" s="99"/>
      <c r="S42" s="7"/>
      <c r="T42" s="7"/>
      <c r="U42" s="7"/>
      <c r="V42" s="7"/>
      <c r="W42" s="7"/>
      <c r="X42" s="7"/>
      <c r="Y42" s="7"/>
    </row>
    <row r="43" spans="1:25" ht="12.75">
      <c r="A43" s="7" t="s">
        <v>55</v>
      </c>
      <c r="B43" s="7"/>
      <c r="C43" s="7"/>
      <c r="D43" s="49">
        <f>IF(K88=" ",L88,K88)</f>
        <v>0.993</v>
      </c>
      <c r="E43" s="29">
        <f>D43/100*LA4</f>
        <v>130.83861553038054</v>
      </c>
      <c r="F43" s="7"/>
      <c r="G43" s="30"/>
      <c r="H43" s="47"/>
      <c r="I43" s="7"/>
      <c r="J43" s="7"/>
      <c r="K43" s="7"/>
      <c r="L43" s="47"/>
      <c r="N43" s="32"/>
      <c r="O43" s="21"/>
      <c r="P43" s="21"/>
      <c r="Q43" s="22"/>
      <c r="R43" s="99"/>
      <c r="S43" s="7"/>
      <c r="T43" s="8" t="s">
        <v>137</v>
      </c>
      <c r="U43" s="2"/>
      <c r="V43" s="10"/>
      <c r="W43" s="10"/>
      <c r="X43" s="10"/>
      <c r="Y43" s="12" t="s">
        <v>2</v>
      </c>
    </row>
    <row r="44" spans="1:25" ht="12.75">
      <c r="A44" s="7" t="s">
        <v>56</v>
      </c>
      <c r="B44" s="7"/>
      <c r="C44" s="7"/>
      <c r="D44" s="49">
        <f>IF(K89=" ",L89,K89)</f>
        <v>12.883</v>
      </c>
      <c r="E44" s="29">
        <f>D44/100*(WM4+FM_4)</f>
        <v>4396.755916867332</v>
      </c>
      <c r="F44" s="7"/>
      <c r="G44" s="30"/>
      <c r="H44" s="47"/>
      <c r="I44" s="7"/>
      <c r="J44" s="7"/>
      <c r="K44" s="7"/>
      <c r="L44" s="47"/>
      <c r="N44" s="32"/>
      <c r="O44" s="21"/>
      <c r="P44" s="21"/>
      <c r="Q44" s="22"/>
      <c r="R44" s="99"/>
      <c r="S44" s="7"/>
      <c r="T44" s="32" t="s">
        <v>138</v>
      </c>
      <c r="U44" s="16"/>
      <c r="V44" s="16"/>
      <c r="W44" s="16"/>
      <c r="X44" s="16"/>
      <c r="Y44" s="97" t="s">
        <v>7</v>
      </c>
    </row>
    <row r="45" spans="1:25" ht="12.75">
      <c r="A45" s="7" t="s">
        <v>57</v>
      </c>
      <c r="B45" s="7"/>
      <c r="C45" s="7"/>
      <c r="D45" s="49">
        <f>IF(K90=" ",L90,K90)</f>
        <v>10.03</v>
      </c>
      <c r="E45" s="29">
        <f>D45/100*E38</f>
        <v>4744.636211029903</v>
      </c>
      <c r="F45" s="7"/>
      <c r="G45" s="30"/>
      <c r="H45" s="47"/>
      <c r="I45" s="7"/>
      <c r="J45" s="7"/>
      <c r="K45" s="7"/>
      <c r="L45" s="47"/>
      <c r="N45" s="12">
        <v>100</v>
      </c>
      <c r="O45" s="12">
        <v>105</v>
      </c>
      <c r="P45" s="8"/>
      <c r="Q45" s="102" t="s">
        <v>133</v>
      </c>
      <c r="R45" s="101">
        <f>IF($L$73="Y",R46*SUM(R41:R44),IF($L$73="B",N45/100*SUM(R41:R44),IF($L$73="T",O45/100*SUM(R41:R44),SUM(R41:R44))))</f>
        <v>0</v>
      </c>
      <c r="S45" s="7"/>
      <c r="T45" s="32"/>
      <c r="U45" s="21"/>
      <c r="V45" s="21"/>
      <c r="W45" s="21"/>
      <c r="X45" s="21"/>
      <c r="Y45" s="99"/>
    </row>
    <row r="46" spans="1:25" ht="14.25" customHeight="1">
      <c r="A46" s="7"/>
      <c r="B46" s="7"/>
      <c r="C46" s="7"/>
      <c r="D46" s="7"/>
      <c r="E46" s="33"/>
      <c r="F46" s="7"/>
      <c r="G46" s="30"/>
      <c r="H46" s="47"/>
      <c r="I46" s="7"/>
      <c r="J46" s="7"/>
      <c r="K46" s="7"/>
      <c r="L46" s="47"/>
      <c r="N46" s="30" t="s">
        <v>143</v>
      </c>
      <c r="O46" s="30" t="s">
        <v>144</v>
      </c>
      <c r="P46" s="7"/>
      <c r="Q46" s="7"/>
      <c r="R46" s="30">
        <f>RANDBETWEEN(N45*10+RANDBETWEEN(0,(O45-N45)*$O$73),O45*10-RANDBETWEEN(0,(O45-N45)*$O$72))/1/1000</f>
        <v>1.028</v>
      </c>
      <c r="S46" s="7"/>
      <c r="T46" s="32"/>
      <c r="U46" s="21"/>
      <c r="V46" s="21"/>
      <c r="W46" s="21"/>
      <c r="X46" s="21"/>
      <c r="Y46" s="99"/>
    </row>
    <row r="47" spans="1:25" ht="12.75">
      <c r="A47" s="7"/>
      <c r="B47" s="7"/>
      <c r="C47" s="7"/>
      <c r="D47" s="34" t="s">
        <v>36</v>
      </c>
      <c r="E47" s="35">
        <f>E38+E43+E44+E45</f>
        <v>56576.67950743462</v>
      </c>
      <c r="F47" s="7"/>
      <c r="G47" s="30"/>
      <c r="H47" s="47"/>
      <c r="I47" s="7"/>
      <c r="J47" s="7"/>
      <c r="K47" s="7"/>
      <c r="L47" s="47"/>
      <c r="N47" s="7"/>
      <c r="O47" s="7"/>
      <c r="P47" s="7"/>
      <c r="Q47" s="7"/>
      <c r="R47" s="7"/>
      <c r="S47" s="7"/>
      <c r="T47" s="12">
        <v>100</v>
      </c>
      <c r="U47" s="12">
        <v>105</v>
      </c>
      <c r="V47" s="2"/>
      <c r="W47" s="8"/>
      <c r="X47" s="100" t="s">
        <v>127</v>
      </c>
      <c r="Y47" s="101">
        <f>IF($L$73="Y",Y48*SUM(Y44:Y46),IF($L$73="B",T47/100*SUM(Y44:Y46),IF($L$73="T",U47/100*SUM(Y44:Y46),SUM(Y44:Y46))))</f>
        <v>0</v>
      </c>
    </row>
    <row r="48" spans="1:25" ht="12.75">
      <c r="A48" s="7" t="s">
        <v>58</v>
      </c>
      <c r="B48" s="7"/>
      <c r="C48" s="7"/>
      <c r="D48" s="49">
        <f>IF(K91=" ",L91,K91)</f>
        <v>0</v>
      </c>
      <c r="E48" s="29">
        <f>D48/100*E47</f>
        <v>0</v>
      </c>
      <c r="F48" s="7"/>
      <c r="G48" s="30"/>
      <c r="H48" s="47"/>
      <c r="I48" s="7"/>
      <c r="J48" s="7"/>
      <c r="K48" s="7"/>
      <c r="L48" s="47"/>
      <c r="N48" s="8" t="s">
        <v>139</v>
      </c>
      <c r="O48" s="10"/>
      <c r="P48" s="10"/>
      <c r="Q48" s="11"/>
      <c r="R48" s="12" t="s">
        <v>2</v>
      </c>
      <c r="S48" s="7"/>
      <c r="T48" s="30" t="s">
        <v>143</v>
      </c>
      <c r="U48" s="30" t="s">
        <v>144</v>
      </c>
      <c r="V48" s="7"/>
      <c r="W48" s="7"/>
      <c r="X48" s="7"/>
      <c r="Y48" s="30">
        <f>RANDBETWEEN(T47*10+RANDBETWEEN(0,(U47-T47)*$O$73),U47*10-RANDBETWEEN(0,(U47-T47)*$O$72))/1/1000</f>
        <v>1.018</v>
      </c>
    </row>
    <row r="49" spans="1:25" ht="12" customHeight="1">
      <c r="A49" s="7"/>
      <c r="B49" s="7"/>
      <c r="C49" s="7"/>
      <c r="D49" s="7"/>
      <c r="E49" s="33"/>
      <c r="F49" s="7"/>
      <c r="G49" s="30"/>
      <c r="H49" s="47"/>
      <c r="I49" s="7"/>
      <c r="J49" s="7"/>
      <c r="K49" s="7"/>
      <c r="L49" s="47"/>
      <c r="N49" s="32" t="s">
        <v>140</v>
      </c>
      <c r="O49" s="21"/>
      <c r="P49" s="21"/>
      <c r="Q49" s="22"/>
      <c r="R49" s="99" t="s">
        <v>7</v>
      </c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45" t="s">
        <v>59</v>
      </c>
      <c r="E50" s="35">
        <f>E47+E48</f>
        <v>56576.67950743462</v>
      </c>
      <c r="F50" s="7"/>
      <c r="G50" s="30"/>
      <c r="H50" s="47"/>
      <c r="I50" s="7"/>
      <c r="J50" s="7"/>
      <c r="K50" s="7"/>
      <c r="L50" s="47"/>
      <c r="N50" s="32" t="s">
        <v>196</v>
      </c>
      <c r="O50" s="21"/>
      <c r="P50" s="21"/>
      <c r="Q50" s="22"/>
      <c r="R50" s="99">
        <v>2108</v>
      </c>
      <c r="S50" s="7"/>
      <c r="T50" s="8" t="s">
        <v>141</v>
      </c>
      <c r="U50" s="10"/>
      <c r="V50" s="10"/>
      <c r="W50" s="10"/>
      <c r="X50" s="10"/>
      <c r="Y50" s="12" t="s">
        <v>2</v>
      </c>
    </row>
    <row r="51" spans="1:25" ht="12.75">
      <c r="A51" s="7" t="s">
        <v>60</v>
      </c>
      <c r="B51" s="7"/>
      <c r="C51" s="7"/>
      <c r="D51" s="49">
        <f>IF(K92=" ",L92,K92)</f>
        <v>2.3782089689818866</v>
      </c>
      <c r="E51" s="29">
        <f>E50*D51/100</f>
        <v>1345.511666397947</v>
      </c>
      <c r="F51" s="7"/>
      <c r="G51" s="7"/>
      <c r="H51" s="47"/>
      <c r="I51" s="7"/>
      <c r="J51" s="7"/>
      <c r="K51" s="7"/>
      <c r="L51" s="47"/>
      <c r="N51" s="32"/>
      <c r="O51" s="21"/>
      <c r="P51" s="21"/>
      <c r="Q51" s="22"/>
      <c r="R51" s="99"/>
      <c r="S51" s="7"/>
      <c r="T51" s="32" t="s">
        <v>142</v>
      </c>
      <c r="U51" s="16"/>
      <c r="V51" s="16"/>
      <c r="W51" s="16"/>
      <c r="X51" s="16"/>
      <c r="Y51" s="97">
        <v>690</v>
      </c>
    </row>
    <row r="52" spans="1:25" ht="12.75">
      <c r="A52" s="7" t="s">
        <v>61</v>
      </c>
      <c r="B52" s="7"/>
      <c r="C52" s="7"/>
      <c r="D52" s="49">
        <f>IF(K93=" ",L93,K93)</f>
        <v>3.0629999999999997</v>
      </c>
      <c r="E52" s="29">
        <f>E50*D52/100</f>
        <v>1732.9436933127224</v>
      </c>
      <c r="F52" s="7"/>
      <c r="G52" s="30"/>
      <c r="H52" s="47"/>
      <c r="I52" s="7"/>
      <c r="J52" s="7"/>
      <c r="K52" s="7"/>
      <c r="L52" s="47"/>
      <c r="N52" s="32"/>
      <c r="O52" s="21"/>
      <c r="P52" s="21"/>
      <c r="Q52" s="22"/>
      <c r="R52" s="99"/>
      <c r="S52" s="7"/>
      <c r="T52" s="32" t="s">
        <v>195</v>
      </c>
      <c r="U52" s="21"/>
      <c r="V52" s="21"/>
      <c r="W52" s="21"/>
      <c r="X52" s="21"/>
      <c r="Y52" s="99">
        <v>510</v>
      </c>
    </row>
    <row r="53" spans="1:25" ht="14.25" customHeight="1">
      <c r="A53" s="7"/>
      <c r="B53" s="7"/>
      <c r="C53" s="7"/>
      <c r="D53" s="7"/>
      <c r="E53" s="33"/>
      <c r="F53" s="7"/>
      <c r="G53" s="30"/>
      <c r="H53" s="47"/>
      <c r="I53" s="7"/>
      <c r="J53" s="7"/>
      <c r="K53" s="7"/>
      <c r="L53" s="47"/>
      <c r="N53" s="12">
        <v>100</v>
      </c>
      <c r="O53" s="12">
        <v>125</v>
      </c>
      <c r="P53" s="8"/>
      <c r="Q53" s="102" t="s">
        <v>133</v>
      </c>
      <c r="R53" s="101">
        <f>IF($L$73="Y",R54*SUM(R49:R52),IF($L$73="B",N53/100*SUM(R49:R52),IF($L$73="T",O53/100*SUM(R49:R52),SUM(R49:R52))))</f>
        <v>2392.58</v>
      </c>
      <c r="S53" s="7"/>
      <c r="T53" s="12">
        <v>100</v>
      </c>
      <c r="U53" s="12">
        <v>105</v>
      </c>
      <c r="V53" s="2"/>
      <c r="W53" s="8"/>
      <c r="X53" s="100" t="s">
        <v>127</v>
      </c>
      <c r="Y53" s="101">
        <f>IF($L$73="Y",Y54*SUM(Y50:Y52),IF($L$73="B",T53/100*SUM(Y50:Y52),IF($L$73="T",U53/100*SUM(Y50:Y52),SUM(Y50:Y52))))</f>
        <v>1230</v>
      </c>
    </row>
    <row r="54" spans="1:25" ht="12.75">
      <c r="A54" s="7"/>
      <c r="B54" s="7"/>
      <c r="C54" s="7"/>
      <c r="D54" s="34" t="s">
        <v>36</v>
      </c>
      <c r="E54" s="71">
        <f>E50+E51+E52</f>
        <v>59655.134867145294</v>
      </c>
      <c r="F54" s="7"/>
      <c r="G54" s="34"/>
      <c r="H54" s="47"/>
      <c r="I54" s="7"/>
      <c r="J54" s="7"/>
      <c r="K54" s="43"/>
      <c r="L54" s="47"/>
      <c r="N54" s="30" t="s">
        <v>143</v>
      </c>
      <c r="O54" s="30" t="s">
        <v>144</v>
      </c>
      <c r="P54" s="7"/>
      <c r="Q54" s="7"/>
      <c r="R54" s="30">
        <f>RANDBETWEEN(N53*10+RANDBETWEEN(0,(O53-N53)*$O$73),O53*10-RANDBETWEEN(0,(O53-N53)*$O$72))/1/1000</f>
        <v>1.135</v>
      </c>
      <c r="S54" s="7"/>
      <c r="T54" s="30" t="s">
        <v>143</v>
      </c>
      <c r="U54" s="30" t="s">
        <v>144</v>
      </c>
      <c r="V54" s="7"/>
      <c r="W54" s="7"/>
      <c r="X54" s="7"/>
      <c r="Y54" s="30">
        <f>RANDBETWEEN(T53*10+RANDBETWEEN(0,(U53-T53)*$O$73),U53*10-RANDBETWEEN(0,(U53-T53)*$O$72))/1/1000</f>
        <v>1.025</v>
      </c>
    </row>
    <row r="55" spans="1:12" ht="12.75">
      <c r="A55" s="7" t="s">
        <v>62</v>
      </c>
      <c r="B55" s="7"/>
      <c r="C55" s="72">
        <f>IF(K94=" ",L94,K94)</f>
        <v>226.982</v>
      </c>
      <c r="D55" s="73">
        <f>IF(K95=" ",L95,K95)</f>
        <v>188.374</v>
      </c>
      <c r="E55" s="74">
        <f>C55/D55*E54-E54</f>
        <v>12226.556992741804</v>
      </c>
      <c r="F55" s="75" t="e">
        <f>IF(MPC&gt;#REF!+31-1+30+31,"* * * *"," ")</f>
        <v>#REF!</v>
      </c>
      <c r="G55" s="30"/>
      <c r="H55" s="47"/>
      <c r="I55" s="7"/>
      <c r="J55" s="7"/>
      <c r="K55" s="7"/>
      <c r="L55" s="47"/>
    </row>
    <row r="56" spans="1:12" ht="3" customHeight="1">
      <c r="A56" s="7"/>
      <c r="B56" s="7"/>
      <c r="C56" s="7"/>
      <c r="D56" s="7"/>
      <c r="E56" s="33"/>
      <c r="F56" s="7"/>
      <c r="G56" s="30"/>
      <c r="H56" s="47"/>
      <c r="I56" s="7"/>
      <c r="J56" s="7"/>
      <c r="K56" s="7"/>
      <c r="L56" s="47"/>
    </row>
    <row r="57" spans="1:12" ht="12.75">
      <c r="A57" s="7"/>
      <c r="B57" s="7"/>
      <c r="C57" s="7"/>
      <c r="D57" s="45" t="s">
        <v>63</v>
      </c>
      <c r="E57" s="35">
        <f>E54+E55</f>
        <v>71881.6918598871</v>
      </c>
      <c r="F57" s="7"/>
      <c r="G57" s="7"/>
      <c r="H57" s="47"/>
      <c r="I57" s="7"/>
      <c r="J57" s="7"/>
      <c r="K57" s="7"/>
      <c r="L57" s="47"/>
    </row>
    <row r="58" spans="1:12" ht="3" customHeight="1" thickBot="1">
      <c r="A58" s="7"/>
      <c r="B58" s="7"/>
      <c r="C58" s="7"/>
      <c r="D58" s="7"/>
      <c r="E58" s="36"/>
      <c r="F58" s="7"/>
      <c r="G58" s="30"/>
      <c r="H58" s="7"/>
      <c r="I58" s="7"/>
      <c r="J58" s="7"/>
      <c r="K58" s="7"/>
      <c r="L58" s="47"/>
    </row>
    <row r="59" spans="1:25" ht="12.75">
      <c r="A59" s="43" t="s">
        <v>64</v>
      </c>
      <c r="B59" s="7"/>
      <c r="C59" s="7"/>
      <c r="D59" s="49">
        <f>IF(K96=" ",L96,K96)</f>
        <v>20.10592252750117</v>
      </c>
      <c r="E59" s="29">
        <f>E57*D59/100</f>
        <v>14452.477276806016</v>
      </c>
      <c r="F59" s="7"/>
      <c r="G59" s="7"/>
      <c r="H59" s="7"/>
      <c r="I59" s="7"/>
      <c r="J59" s="34" t="s">
        <v>65</v>
      </c>
      <c r="K59" s="68">
        <f>E59/E68*100</f>
        <v>15.855647063485792</v>
      </c>
      <c r="L59" s="69">
        <f>K59/100*H68*SIF*XR</f>
        <v>14452.477276806014</v>
      </c>
      <c r="O59" s="119" t="s">
        <v>150</v>
      </c>
      <c r="W59" s="127" t="s">
        <v>175</v>
      </c>
      <c r="X59" s="128"/>
      <c r="Y59" s="129"/>
    </row>
    <row r="60" spans="1:25" ht="13.5" thickBot="1">
      <c r="A60" s="7" t="s">
        <v>66</v>
      </c>
      <c r="B60" s="7"/>
      <c r="C60" s="7"/>
      <c r="D60" s="49">
        <f>IF(K97=" ",L97,K97)</f>
        <v>3.968</v>
      </c>
      <c r="E60" s="29">
        <f>E57*D60/100</f>
        <v>2852.26553300032</v>
      </c>
      <c r="F60" s="7"/>
      <c r="G60" s="7"/>
      <c r="H60" s="7"/>
      <c r="I60" s="7"/>
      <c r="J60" s="34" t="s">
        <v>67</v>
      </c>
      <c r="K60" s="68">
        <f>L60/E68*100</f>
        <v>3.9343543222914175</v>
      </c>
      <c r="L60" s="69">
        <f>(E60+E61)*SIF*XR</f>
        <v>3586.177606889767</v>
      </c>
      <c r="O60" t="s">
        <v>173</v>
      </c>
      <c r="W60" s="130" t="s">
        <v>176</v>
      </c>
      <c r="X60" s="131"/>
      <c r="Y60" s="132"/>
    </row>
    <row r="61" spans="1:15" ht="12.75">
      <c r="A61" s="43" t="s">
        <v>68</v>
      </c>
      <c r="B61" s="7"/>
      <c r="C61" s="7"/>
      <c r="D61" s="49">
        <f>IF(K98=" ",L98,K98)</f>
        <v>1.021</v>
      </c>
      <c r="E61" s="29">
        <f>D61/100*E57</f>
        <v>733.9120738894471</v>
      </c>
      <c r="F61" s="7"/>
      <c r="G61" s="7"/>
      <c r="H61" s="7"/>
      <c r="I61" s="7"/>
      <c r="J61" s="34" t="s">
        <v>69</v>
      </c>
      <c r="K61" s="68">
        <f>L61/E68*100</f>
        <v>5.559124604889697</v>
      </c>
      <c r="L61" s="69">
        <f>CO*SIF*XR</f>
        <v>5067.161353264791</v>
      </c>
      <c r="O61" t="s">
        <v>174</v>
      </c>
    </row>
    <row r="62" spans="1:15" ht="12.75">
      <c r="A62" s="7" t="s">
        <v>70</v>
      </c>
      <c r="B62" s="7"/>
      <c r="C62" s="7"/>
      <c r="D62" s="7"/>
      <c r="E62" s="42">
        <f>Y53</f>
        <v>1230</v>
      </c>
      <c r="F62" s="7"/>
      <c r="G62" s="24">
        <f>E68/E64</f>
        <v>1</v>
      </c>
      <c r="H62" s="25">
        <f>E62*G62</f>
        <v>1230</v>
      </c>
      <c r="I62" s="7"/>
      <c r="J62" s="7"/>
      <c r="K62" s="7"/>
      <c r="L62" s="47"/>
      <c r="O62" s="120" t="s">
        <v>149</v>
      </c>
    </row>
    <row r="63" spans="1:12" ht="3" customHeight="1">
      <c r="A63" s="7"/>
      <c r="B63" s="7"/>
      <c r="C63" s="7"/>
      <c r="D63" s="7"/>
      <c r="E63" s="33"/>
      <c r="F63" s="7"/>
      <c r="G63" s="30"/>
      <c r="H63" s="47"/>
      <c r="I63" s="7"/>
      <c r="J63" s="7"/>
      <c r="K63" s="7"/>
      <c r="L63" s="47"/>
    </row>
    <row r="64" spans="1:16" ht="12.75">
      <c r="A64" s="7"/>
      <c r="B64" s="7"/>
      <c r="C64" s="7"/>
      <c r="D64" s="34" t="s">
        <v>36</v>
      </c>
      <c r="E64" s="35">
        <f>E57+E59+E60+E61+E62</f>
        <v>91150.34674358288</v>
      </c>
      <c r="F64" s="7"/>
      <c r="G64" s="30"/>
      <c r="H64" s="47"/>
      <c r="I64" s="7"/>
      <c r="J64" s="7"/>
      <c r="K64" s="7"/>
      <c r="L64" s="47"/>
      <c r="N64" s="122" t="s">
        <v>152</v>
      </c>
      <c r="O64" s="113">
        <v>93990.52589908162</v>
      </c>
      <c r="P64" s="115">
        <f>(O64-O66)/O66*100</f>
        <v>16.16386677574968</v>
      </c>
    </row>
    <row r="65" spans="1:15" ht="3" customHeight="1">
      <c r="A65" s="7"/>
      <c r="B65" s="7"/>
      <c r="C65" s="7"/>
      <c r="D65" s="7"/>
      <c r="E65" s="29"/>
      <c r="F65" s="7"/>
      <c r="G65" s="30"/>
      <c r="H65" s="47"/>
      <c r="I65" s="7"/>
      <c r="J65" s="7"/>
      <c r="K65" s="7"/>
      <c r="L65" s="47"/>
      <c r="O65" s="112"/>
    </row>
    <row r="66" spans="1:24" ht="12.75">
      <c r="A66" s="7" t="s">
        <v>71</v>
      </c>
      <c r="B66" s="7" t="str">
        <f>IF(L99=" ","USTMENT  (Calc.)","     -----&gt;GUESS -----&gt;")</f>
        <v>     -----&gt;GUESS -----&gt;</v>
      </c>
      <c r="D66" s="49">
        <f>IF(L99=" ",K99,L99)</f>
        <v>0</v>
      </c>
      <c r="E66" s="42">
        <v>0</v>
      </c>
      <c r="F66" s="7"/>
      <c r="G66" s="30"/>
      <c r="H66" s="47"/>
      <c r="I66" s="7"/>
      <c r="J66" s="7"/>
      <c r="K66" s="7"/>
      <c r="L66" s="47"/>
      <c r="O66" s="69">
        <v>80912.01550696231</v>
      </c>
      <c r="T66" s="119" t="s">
        <v>165</v>
      </c>
      <c r="X66" s="119" t="s">
        <v>166</v>
      </c>
    </row>
    <row r="67" spans="1:15" ht="3" customHeight="1">
      <c r="A67" s="7"/>
      <c r="B67" s="7"/>
      <c r="C67" s="7"/>
      <c r="D67" s="7"/>
      <c r="E67" s="59"/>
      <c r="F67" s="7"/>
      <c r="G67" s="30"/>
      <c r="H67" s="47"/>
      <c r="I67" s="7"/>
      <c r="J67" s="7"/>
      <c r="K67" s="7"/>
      <c r="L67" s="47"/>
      <c r="O67" s="112"/>
    </row>
    <row r="68" spans="1:24" ht="12.75">
      <c r="A68" s="7"/>
      <c r="B68" s="7"/>
      <c r="C68" s="7"/>
      <c r="D68" s="45" t="s">
        <v>72</v>
      </c>
      <c r="E68" s="71">
        <f>IF(E64+E66&lt;=0,0.01,(E64+E66)*SIF*XR)</f>
        <v>91150.34674358288</v>
      </c>
      <c r="F68" s="7"/>
      <c r="G68" s="24">
        <v>1</v>
      </c>
      <c r="H68" s="25">
        <f>H4+H10+H19+H20+H21+H23+H27+H28+H29+H30+H62</f>
        <v>91150.34674358286</v>
      </c>
      <c r="I68" s="7"/>
      <c r="J68" s="7"/>
      <c r="K68" s="68">
        <v>100</v>
      </c>
      <c r="L68" s="69">
        <f>IF(L39+L40+L41+L59+L60+L61&lt;=0,0.01,L39+L40+L41+L59+L60+L61)</f>
        <v>91150.3467435829</v>
      </c>
      <c r="M68" s="103"/>
      <c r="N68" s="122" t="s">
        <v>153</v>
      </c>
      <c r="O68" s="114">
        <v>77301.61196157587</v>
      </c>
      <c r="P68" s="116">
        <f>(O66-O68)/O66*100</f>
        <v>4.46213522523831</v>
      </c>
      <c r="T68" s="119" t="s">
        <v>155</v>
      </c>
      <c r="X68" s="119" t="s">
        <v>167</v>
      </c>
    </row>
    <row r="69" spans="1:24" ht="12.75">
      <c r="A69" s="7"/>
      <c r="B69" s="7"/>
      <c r="C69" s="7"/>
      <c r="D69" s="7"/>
      <c r="E69" s="76"/>
      <c r="F69" s="7"/>
      <c r="G69" s="7"/>
      <c r="H69" s="76"/>
      <c r="I69" s="7"/>
      <c r="J69" s="7"/>
      <c r="K69" s="7"/>
      <c r="L69" s="66"/>
      <c r="T69" s="119" t="s">
        <v>156</v>
      </c>
      <c r="X69" s="119" t="s">
        <v>169</v>
      </c>
    </row>
    <row r="70" spans="1:12" ht="3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20" ht="13.5" thickBot="1">
      <c r="A71" s="7"/>
      <c r="B71" s="1"/>
      <c r="C71" s="2"/>
      <c r="D71" s="2"/>
      <c r="E71" s="3" t="s">
        <v>0</v>
      </c>
      <c r="F71" s="2"/>
      <c r="G71" s="2"/>
      <c r="H71" s="2"/>
      <c r="I71" s="2"/>
      <c r="J71" s="77"/>
      <c r="K71" s="7"/>
      <c r="L71" s="7"/>
      <c r="O71" s="119" t="s">
        <v>179</v>
      </c>
      <c r="T71" t="s">
        <v>157</v>
      </c>
    </row>
    <row r="72" spans="1:23" ht="13.5" thickBot="1">
      <c r="A72" s="7"/>
      <c r="B72" s="4"/>
      <c r="C72" s="5"/>
      <c r="D72" s="5"/>
      <c r="E72" s="78" t="s">
        <v>168</v>
      </c>
      <c r="F72" s="5"/>
      <c r="G72" s="5"/>
      <c r="H72" s="5"/>
      <c r="I72" s="5"/>
      <c r="J72" s="6"/>
      <c r="K72" s="7"/>
      <c r="L72" s="30" t="s">
        <v>172</v>
      </c>
      <c r="O72" s="133">
        <v>5</v>
      </c>
      <c r="P72" t="s">
        <v>177</v>
      </c>
      <c r="R72" s="119" t="s">
        <v>160</v>
      </c>
      <c r="T72" s="119" t="s">
        <v>158</v>
      </c>
      <c r="W72" s="119"/>
    </row>
    <row r="73" spans="1:25" ht="15" customHeight="1" thickBo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26" t="s">
        <v>147</v>
      </c>
      <c r="M73" s="104" t="s">
        <v>145</v>
      </c>
      <c r="N73" s="104"/>
      <c r="O73" s="133">
        <v>5</v>
      </c>
      <c r="P73" t="s">
        <v>178</v>
      </c>
      <c r="R73" s="119" t="s">
        <v>159</v>
      </c>
      <c r="T73" s="119" t="s">
        <v>171</v>
      </c>
      <c r="W73" s="104" t="s">
        <v>161</v>
      </c>
      <c r="X73" s="104"/>
      <c r="Y73" s="104"/>
    </row>
    <row r="74" spans="1:25" ht="12.75">
      <c r="A74" s="8" t="s">
        <v>73</v>
      </c>
      <c r="B74" s="10"/>
      <c r="C74" s="10"/>
      <c r="D74" s="11"/>
      <c r="E74" s="7" t="s">
        <v>7</v>
      </c>
      <c r="F74" s="7"/>
      <c r="G74" s="8" t="s">
        <v>74</v>
      </c>
      <c r="H74" s="10"/>
      <c r="I74" s="10"/>
      <c r="J74" s="10"/>
      <c r="K74" s="10"/>
      <c r="L74" s="125" t="s">
        <v>146</v>
      </c>
      <c r="M74" s="105" t="s">
        <v>143</v>
      </c>
      <c r="N74" s="106" t="s">
        <v>144</v>
      </c>
      <c r="O74" s="118" t="s">
        <v>148</v>
      </c>
      <c r="R74" s="123" t="s">
        <v>151</v>
      </c>
      <c r="T74" s="119" t="s">
        <v>170</v>
      </c>
      <c r="U74" s="123" t="s">
        <v>154</v>
      </c>
      <c r="W74" s="123" t="s">
        <v>162</v>
      </c>
      <c r="X74" s="123" t="s">
        <v>163</v>
      </c>
      <c r="Y74" s="123" t="s">
        <v>164</v>
      </c>
    </row>
    <row r="75" spans="1:15" ht="8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N75" s="79"/>
      <c r="O75" s="79"/>
    </row>
    <row r="76" spans="1:28" ht="12.75">
      <c r="A76" s="8" t="s">
        <v>75</v>
      </c>
      <c r="B76" s="10"/>
      <c r="C76" s="11"/>
      <c r="D76" s="80" t="s">
        <v>7</v>
      </c>
      <c r="E76" s="81">
        <f>IF(D76=50," ",50)</f>
        <v>50</v>
      </c>
      <c r="F76" s="7"/>
      <c r="G76" s="82" t="s">
        <v>76</v>
      </c>
      <c r="H76" s="10"/>
      <c r="I76" s="10"/>
      <c r="J76" s="11"/>
      <c r="K76" s="109">
        <f>IF($L$73="Y",O76*L76,IF($L$73="B",M76/100*L76,IF($L$73="T",N76/100*L76,L76)))</f>
        <v>5.1</v>
      </c>
      <c r="L76" s="108">
        <v>5</v>
      </c>
      <c r="M76" s="107">
        <v>95</v>
      </c>
      <c r="N76" s="107">
        <v>105</v>
      </c>
      <c r="O76" s="117">
        <f>RANDBETWEEN(M76*10+RANDBETWEEN(0,(N76-M76)*$O$73),N76*10-RANDBETWEEN(0,(N76-M76)*$O$72))/1/1000</f>
        <v>1.02</v>
      </c>
      <c r="Q76" s="119">
        <v>1</v>
      </c>
      <c r="R76" s="121">
        <f>IF(AND($E$68&gt;$O$68,$E$68&lt;$O$68+($O$64-$O$68)/20)=TRUE,"Bang","")</f>
      </c>
      <c r="T76" s="119">
        <f>U76</f>
        <v>7</v>
      </c>
      <c r="U76" s="119">
        <f>IF(R76="Bang",1,0)+T76</f>
        <v>7</v>
      </c>
      <c r="W76" s="124">
        <f>$O$68</f>
        <v>77301.61196157587</v>
      </c>
      <c r="X76" s="124">
        <f>$O$68+($O$64-$O$68)/20</f>
        <v>78136.05765845116</v>
      </c>
      <c r="Y76" s="124">
        <f>SUM(W76:X76)/2</f>
        <v>77718.8348100135</v>
      </c>
      <c r="Z76" s="134">
        <f>SUM($T$76:T76)/SUM($T$76:$T$95)*100</f>
        <v>0.1401962747846986</v>
      </c>
      <c r="AA76" s="152">
        <f>IF(AND(AB75=0,AB76&gt;0)=TRUE,"Lo",IF(AND(AB76&gt;0,AB77=0)=TRUE,"Hi",IF(AND(AB75&lt;AB76,AB77&lt;AB76)=TRUE,"Max","")))</f>
      </c>
      <c r="AB76">
        <f>IF(AND(Y76&gt;=(100-$Y$127)/100*$W$102,Y76&lt;=(100+$Y$127)/100*$W$102)=TRUE,U76,0)</f>
        <v>0</v>
      </c>
    </row>
    <row r="77" spans="1:28" ht="12.75">
      <c r="A77" s="83" t="s">
        <v>77</v>
      </c>
      <c r="B77" s="5"/>
      <c r="C77" s="5"/>
      <c r="D77" s="84" t="s">
        <v>7</v>
      </c>
      <c r="E77" s="81">
        <f>IF(D77=50," ",50)</f>
        <v>50</v>
      </c>
      <c r="F77" s="7"/>
      <c r="G77" s="85" t="s">
        <v>78</v>
      </c>
      <c r="H77" s="2"/>
      <c r="I77" s="2"/>
      <c r="J77" s="77"/>
      <c r="K77" s="109">
        <f aca="true" t="shared" si="0" ref="K77:K99">IF($L$73="Y",O77*L77,IF($L$73="B",M77/100*L77,IF($L$73="T",N77/100*L77,L77)))</f>
        <v>1.512</v>
      </c>
      <c r="L77" s="108">
        <v>1.5</v>
      </c>
      <c r="M77" s="107">
        <v>95</v>
      </c>
      <c r="N77" s="107">
        <v>105</v>
      </c>
      <c r="O77" s="117">
        <f>RANDBETWEEN(M77*10+RANDBETWEEN(0,(N77-M77)*$O$73),N77*10-RANDBETWEEN(0,(N77-M77)*$O$72))/1/1000</f>
        <v>1.008</v>
      </c>
      <c r="Q77" s="119">
        <f>1+Q76</f>
        <v>2</v>
      </c>
      <c r="R77" s="121">
        <f>IF(AND($E$68&gt;$O$68+($O$64-$O$68)*Q76/20,$E$68&lt;$O$68+($O$64-$O$68)*Q77/20)=TRUE,"Bang","")</f>
      </c>
      <c r="T77" s="119">
        <f aca="true" t="shared" si="1" ref="T77:T95">U77</f>
        <v>11</v>
      </c>
      <c r="U77" s="119">
        <f aca="true" t="shared" si="2" ref="U77:U95">IF(R77="Bang",1,0)+T77</f>
        <v>11</v>
      </c>
      <c r="W77" s="124">
        <f>$O$68+($O$64-$O$68)*Q76/20</f>
        <v>78136.05765845116</v>
      </c>
      <c r="X77" s="124">
        <f>$O$68+($O$64-$O$68)*Q77/20</f>
        <v>78970.50335532644</v>
      </c>
      <c r="Y77" s="124">
        <f aca="true" t="shared" si="3" ref="Y77:Y95">SUM(W77:X77)/2</f>
        <v>78553.2805068888</v>
      </c>
      <c r="Z77" s="134">
        <f>SUM($T$76:T77)/SUM($T$76:$T$95)*100</f>
        <v>0.3605047065892249</v>
      </c>
      <c r="AA77" s="152">
        <f aca="true" t="shared" si="4" ref="AA77:AA95">IF(AND(AB76=0,AB77&gt;0)=TRUE,"Lo",IF(AND(AB77&gt;0,AB78=0)=TRUE,"Hi",IF(AND(AB76&lt;AB77,AB78&lt;AB77)=TRUE,"Max","")))</f>
      </c>
      <c r="AB77">
        <f aca="true" t="shared" si="5" ref="AB77:AB95">IF(AND(Y77&gt;=(100-$Y$127)/100*$W$102,Y77&lt;=(100+$Y$127)/100*$W$102)=TRUE,U77,0)</f>
        <v>0</v>
      </c>
    </row>
    <row r="78" spans="1:28" ht="12.75">
      <c r="A78" s="60" t="s">
        <v>79</v>
      </c>
      <c r="B78" s="7"/>
      <c r="C78" s="7"/>
      <c r="D78" s="86" t="s">
        <v>7</v>
      </c>
      <c r="E78" s="81">
        <f>IF(D78=50," ",50)</f>
        <v>50</v>
      </c>
      <c r="F78" s="7"/>
      <c r="G78" s="87" t="s">
        <v>80</v>
      </c>
      <c r="H78" s="7"/>
      <c r="I78" s="7"/>
      <c r="J78" s="88"/>
      <c r="K78" s="109">
        <f t="shared" si="0"/>
        <v>5.934</v>
      </c>
      <c r="L78" s="108">
        <v>6</v>
      </c>
      <c r="M78" s="107">
        <v>95</v>
      </c>
      <c r="N78" s="107">
        <v>105</v>
      </c>
      <c r="O78" s="117">
        <f>RANDBETWEEN(M78*10+RANDBETWEEN(0,(N78-M78)*$O$73),N78*10-RANDBETWEEN(0,(N78-M78)*$O$72))/1/1000</f>
        <v>0.989</v>
      </c>
      <c r="Q78" s="119">
        <f aca="true" t="shared" si="6" ref="Q78:Q95">1+Q77</f>
        <v>3</v>
      </c>
      <c r="R78" s="121">
        <f aca="true" t="shared" si="7" ref="R78:R95">IF(AND($E$68&gt;$O$68+($O$64-$O$68)*Q77/20,$E$68&lt;$O$68+($O$64-$O$68)*Q78/20)=TRUE,"Bang","")</f>
      </c>
      <c r="T78" s="119">
        <f t="shared" si="1"/>
        <v>56</v>
      </c>
      <c r="U78" s="119">
        <f t="shared" si="2"/>
        <v>56</v>
      </c>
      <c r="W78" s="124">
        <f aca="true" t="shared" si="8" ref="W78:W95">$O$68+($O$64-$O$68)*Q77/20</f>
        <v>78970.50335532644</v>
      </c>
      <c r="X78" s="124">
        <f aca="true" t="shared" si="9" ref="X78:X95">$O$68+($O$64-$O$68)*Q78/20</f>
        <v>79804.94905220173</v>
      </c>
      <c r="Y78" s="124">
        <f t="shared" si="3"/>
        <v>79387.72620376409</v>
      </c>
      <c r="Z78" s="134">
        <f>SUM($T$76:T78)/SUM($T$76:$T$95)*100</f>
        <v>1.4820749048668136</v>
      </c>
      <c r="AA78" s="152">
        <f t="shared" si="4"/>
      </c>
      <c r="AB78">
        <f t="shared" si="5"/>
        <v>0</v>
      </c>
    </row>
    <row r="79" spans="1:28" ht="12.75">
      <c r="A79" s="4" t="s">
        <v>81</v>
      </c>
      <c r="B79" s="5"/>
      <c r="C79" s="5"/>
      <c r="D79" s="89" t="s">
        <v>7</v>
      </c>
      <c r="E79" s="81">
        <f>IF(D79=50," ",50)</f>
        <v>50</v>
      </c>
      <c r="F79" s="7"/>
      <c r="G79" s="60" t="s">
        <v>82</v>
      </c>
      <c r="H79" s="7"/>
      <c r="I79" s="7"/>
      <c r="J79" s="88"/>
      <c r="K79" s="109">
        <f t="shared" si="0"/>
        <v>4.008</v>
      </c>
      <c r="L79" s="108">
        <v>4</v>
      </c>
      <c r="M79" s="107">
        <v>95</v>
      </c>
      <c r="N79" s="107">
        <v>105</v>
      </c>
      <c r="O79" s="117">
        <f>RANDBETWEEN(M79*10+RANDBETWEEN(0,(N79-M79)*$O$73),N79*10-RANDBETWEEN(0,(N79-M79)*$O$72))/1/1000</f>
        <v>1.002</v>
      </c>
      <c r="Q79" s="119">
        <f t="shared" si="6"/>
        <v>4</v>
      </c>
      <c r="R79" s="121">
        <f t="shared" si="7"/>
      </c>
      <c r="T79" s="119">
        <f t="shared" si="1"/>
        <v>81</v>
      </c>
      <c r="U79" s="119">
        <f t="shared" si="2"/>
        <v>81</v>
      </c>
      <c r="W79" s="124">
        <f t="shared" si="8"/>
        <v>79804.94905220173</v>
      </c>
      <c r="X79" s="124">
        <f t="shared" si="9"/>
        <v>80639.39474907702</v>
      </c>
      <c r="Y79" s="124">
        <f t="shared" si="3"/>
        <v>80222.17190063937</v>
      </c>
      <c r="Z79" s="134">
        <f>SUM($T$76:T79)/SUM($T$76:$T$95)*100</f>
        <v>3.1043460845183257</v>
      </c>
      <c r="AA79" s="152">
        <f t="shared" si="4"/>
      </c>
      <c r="AB79">
        <f t="shared" si="5"/>
        <v>0</v>
      </c>
    </row>
    <row r="80" spans="1:28" ht="12.75">
      <c r="A80" s="60" t="s">
        <v>83</v>
      </c>
      <c r="B80" s="7"/>
      <c r="C80" s="7"/>
      <c r="D80" s="86" t="s">
        <v>7</v>
      </c>
      <c r="E80" s="81">
        <f>IF(D80=20," ",20)</f>
        <v>20</v>
      </c>
      <c r="F80" s="7"/>
      <c r="G80" s="82" t="s">
        <v>84</v>
      </c>
      <c r="H80" s="10"/>
      <c r="I80" s="10"/>
      <c r="J80" s="11"/>
      <c r="K80" s="109">
        <f t="shared" si="0"/>
        <v>7.007</v>
      </c>
      <c r="L80" s="108">
        <v>7</v>
      </c>
      <c r="M80" s="107">
        <v>95</v>
      </c>
      <c r="N80" s="107">
        <v>105</v>
      </c>
      <c r="O80" s="117">
        <f>RANDBETWEEN(M80*10+RANDBETWEEN(0,(N80-M80)*$O$73),N80*10-RANDBETWEEN(0,(N80-M80)*$O$72))/1/1000</f>
        <v>1.001</v>
      </c>
      <c r="Q80" s="119">
        <f t="shared" si="6"/>
        <v>5</v>
      </c>
      <c r="R80" s="121">
        <f t="shared" si="7"/>
      </c>
      <c r="T80" s="119">
        <f t="shared" si="1"/>
        <v>164</v>
      </c>
      <c r="U80" s="119">
        <f t="shared" si="2"/>
        <v>164</v>
      </c>
      <c r="W80" s="124">
        <f t="shared" si="8"/>
        <v>80639.39474907702</v>
      </c>
      <c r="X80" s="124">
        <f t="shared" si="9"/>
        <v>81473.8404459523</v>
      </c>
      <c r="Y80" s="124">
        <f t="shared" si="3"/>
        <v>81056.61759751466</v>
      </c>
      <c r="Z80" s="134">
        <f>SUM($T$76:T80)/SUM($T$76:$T$95)*100</f>
        <v>6.388944522331263</v>
      </c>
      <c r="AA80" s="152">
        <f t="shared" si="4"/>
      </c>
      <c r="AB80">
        <f t="shared" si="5"/>
        <v>0</v>
      </c>
    </row>
    <row r="81" spans="1:28" ht="12.75">
      <c r="A81" s="83" t="s">
        <v>85</v>
      </c>
      <c r="B81" s="5"/>
      <c r="C81" s="5"/>
      <c r="D81" s="89" t="s">
        <v>7</v>
      </c>
      <c r="E81" s="81">
        <f>IF(D81=15," ",15)</f>
        <v>15</v>
      </c>
      <c r="F81" s="7"/>
      <c r="G81" s="90" t="s">
        <v>86</v>
      </c>
      <c r="H81" s="2"/>
      <c r="I81" s="2"/>
      <c r="J81" s="77"/>
      <c r="K81" s="109">
        <f t="shared" si="0"/>
        <v>47.088</v>
      </c>
      <c r="L81" s="108">
        <v>48</v>
      </c>
      <c r="M81" s="107">
        <v>95</v>
      </c>
      <c r="N81" s="107">
        <v>105</v>
      </c>
      <c r="O81" s="117">
        <f>RANDBETWEEN(M81*10+RANDBETWEEN(0,(N81-M81)*$O$73),N81*10-RANDBETWEEN(0,(N81-M81)*$O$72))/1/1000</f>
        <v>0.981</v>
      </c>
      <c r="Q81" s="119">
        <f t="shared" si="6"/>
        <v>6</v>
      </c>
      <c r="R81" s="121">
        <f t="shared" si="7"/>
      </c>
      <c r="T81" s="119">
        <f t="shared" si="1"/>
        <v>263</v>
      </c>
      <c r="U81" s="119">
        <f t="shared" si="2"/>
        <v>263</v>
      </c>
      <c r="W81" s="124">
        <f t="shared" si="8"/>
        <v>81473.8404459523</v>
      </c>
      <c r="X81" s="124">
        <f t="shared" si="9"/>
        <v>82308.2861428276</v>
      </c>
      <c r="Y81" s="124">
        <f t="shared" si="3"/>
        <v>81891.06329438995</v>
      </c>
      <c r="Z81" s="134">
        <f>SUM($T$76:T81)/SUM($T$76:$T$95)*100</f>
        <v>11.656318846384938</v>
      </c>
      <c r="AA81" s="152" t="str">
        <f t="shared" si="4"/>
        <v>Lo</v>
      </c>
      <c r="AB81">
        <f t="shared" si="5"/>
        <v>263</v>
      </c>
    </row>
    <row r="82" spans="1:28" ht="12.75">
      <c r="A82" s="60" t="s">
        <v>87</v>
      </c>
      <c r="B82" s="7"/>
      <c r="C82" s="7"/>
      <c r="D82" s="86" t="s">
        <v>7</v>
      </c>
      <c r="E82" s="81">
        <f>IF(D82=45," ",45)</f>
        <v>45</v>
      </c>
      <c r="F82" s="7"/>
      <c r="G82" s="91" t="s">
        <v>88</v>
      </c>
      <c r="H82" s="7"/>
      <c r="I82" s="7"/>
      <c r="J82" s="88"/>
      <c r="K82" s="109">
        <f t="shared" si="0"/>
        <v>21.669999999999998</v>
      </c>
      <c r="L82" s="108">
        <v>22</v>
      </c>
      <c r="M82" s="107">
        <v>95</v>
      </c>
      <c r="N82" s="107">
        <v>105</v>
      </c>
      <c r="O82" s="117">
        <f>RANDBETWEEN(M82*10+RANDBETWEEN(0,(N82-M82)*$O$73),N82*10-RANDBETWEEN(0,(N82-M82)*$O$72))/1/1000</f>
        <v>0.985</v>
      </c>
      <c r="Q82" s="119">
        <f t="shared" si="6"/>
        <v>7</v>
      </c>
      <c r="R82" s="121">
        <f t="shared" si="7"/>
      </c>
      <c r="T82" s="119">
        <f t="shared" si="1"/>
        <v>412</v>
      </c>
      <c r="U82" s="119">
        <f t="shared" si="2"/>
        <v>412</v>
      </c>
      <c r="W82" s="124">
        <f t="shared" si="8"/>
        <v>82308.2861428276</v>
      </c>
      <c r="X82" s="124">
        <f t="shared" si="9"/>
        <v>83142.73183970289</v>
      </c>
      <c r="Y82" s="124">
        <f t="shared" si="3"/>
        <v>82725.50899126523</v>
      </c>
      <c r="Z82" s="134">
        <f>SUM($T$76:T82)/SUM($T$76:$T$95)*100</f>
        <v>19.907871019427198</v>
      </c>
      <c r="AA82" s="152">
        <f t="shared" si="4"/>
      </c>
      <c r="AB82">
        <f t="shared" si="5"/>
        <v>412</v>
      </c>
    </row>
    <row r="83" spans="1:28" ht="12.75">
      <c r="A83" s="83" t="s">
        <v>89</v>
      </c>
      <c r="B83" s="5"/>
      <c r="C83" s="5"/>
      <c r="D83" s="89" t="s">
        <v>7</v>
      </c>
      <c r="E83" s="81">
        <f>IF(D83=30," ",30)</f>
        <v>30</v>
      </c>
      <c r="F83" s="7"/>
      <c r="G83" s="92" t="s">
        <v>90</v>
      </c>
      <c r="H83" s="5"/>
      <c r="I83" s="5"/>
      <c r="J83" s="6"/>
      <c r="K83" s="109">
        <f t="shared" si="0"/>
        <v>9.054</v>
      </c>
      <c r="L83" s="108">
        <v>9</v>
      </c>
      <c r="M83" s="107">
        <v>95</v>
      </c>
      <c r="N83" s="107">
        <v>105</v>
      </c>
      <c r="O83" s="117">
        <f>RANDBETWEEN(M83*10+RANDBETWEEN(0,(N83-M83)*$O$73),N83*10-RANDBETWEEN(0,(N83-M83)*$O$72))/1/1000</f>
        <v>1.006</v>
      </c>
      <c r="Q83" s="119">
        <f t="shared" si="6"/>
        <v>8</v>
      </c>
      <c r="R83" s="121">
        <f t="shared" si="7"/>
      </c>
      <c r="T83" s="119">
        <f t="shared" si="1"/>
        <v>496</v>
      </c>
      <c r="U83" s="119">
        <f t="shared" si="2"/>
        <v>496</v>
      </c>
      <c r="W83" s="124">
        <f t="shared" si="8"/>
        <v>83142.73183970289</v>
      </c>
      <c r="X83" s="124">
        <f t="shared" si="9"/>
        <v>83977.17753657817</v>
      </c>
      <c r="Y83" s="124">
        <f t="shared" si="3"/>
        <v>83559.95468814053</v>
      </c>
      <c r="Z83" s="134">
        <f>SUM($T$76:T83)/SUM($T$76:$T$95)*100</f>
        <v>29.84177848988584</v>
      </c>
      <c r="AA83" s="152">
        <f t="shared" si="4"/>
      </c>
      <c r="AB83">
        <f t="shared" si="5"/>
        <v>496</v>
      </c>
    </row>
    <row r="84" spans="1:28" ht="12.75">
      <c r="A84" s="87" t="s">
        <v>91</v>
      </c>
      <c r="B84" s="7"/>
      <c r="C84" s="7"/>
      <c r="D84" s="86" t="s">
        <v>7</v>
      </c>
      <c r="E84" s="81">
        <f>IF(D84=40," ",40)</f>
        <v>40</v>
      </c>
      <c r="F84" s="7"/>
      <c r="G84" s="8" t="s">
        <v>92</v>
      </c>
      <c r="H84" s="10"/>
      <c r="I84" s="10"/>
      <c r="J84" s="11"/>
      <c r="K84" s="109">
        <f t="shared" si="0"/>
        <v>0</v>
      </c>
      <c r="L84" s="108">
        <v>0</v>
      </c>
      <c r="M84" s="107">
        <v>95</v>
      </c>
      <c r="N84" s="107">
        <v>105</v>
      </c>
      <c r="O84" s="117">
        <f>RANDBETWEEN(M84*10+RANDBETWEEN(0,(N84-M84)*$O$73),N84*10-RANDBETWEEN(0,(N84-M84)*$O$72))/1/1000</f>
        <v>0.995</v>
      </c>
      <c r="Q84" s="119">
        <f t="shared" si="6"/>
        <v>9</v>
      </c>
      <c r="R84" s="121">
        <f t="shared" si="7"/>
      </c>
      <c r="T84" s="119">
        <f t="shared" si="1"/>
        <v>593</v>
      </c>
      <c r="U84" s="119">
        <f t="shared" si="2"/>
        <v>593</v>
      </c>
      <c r="W84" s="124">
        <f t="shared" si="8"/>
        <v>83977.17753657817</v>
      </c>
      <c r="X84" s="124">
        <f t="shared" si="9"/>
        <v>84811.62323345346</v>
      </c>
      <c r="Y84" s="124">
        <f t="shared" si="3"/>
        <v>84394.40038501582</v>
      </c>
      <c r="Z84" s="134">
        <f>SUM($T$76:T84)/SUM($T$76:$T$95)*100</f>
        <v>41.71840576807531</v>
      </c>
      <c r="AA84" s="152">
        <f t="shared" si="4"/>
      </c>
      <c r="AB84">
        <f t="shared" si="5"/>
        <v>593</v>
      </c>
    </row>
    <row r="85" spans="1:28" ht="12.75">
      <c r="A85" s="83" t="s">
        <v>93</v>
      </c>
      <c r="B85" s="5"/>
      <c r="C85" s="5"/>
      <c r="D85" s="89" t="s">
        <v>7</v>
      </c>
      <c r="E85" s="81">
        <f>IF(D85=15," ",15)</f>
        <v>15</v>
      </c>
      <c r="F85" s="7"/>
      <c r="G85" s="1" t="s">
        <v>94</v>
      </c>
      <c r="H85" s="2"/>
      <c r="I85" s="2"/>
      <c r="J85" s="77"/>
      <c r="K85" s="109">
        <f t="shared" si="0"/>
        <v>0</v>
      </c>
      <c r="L85" s="108">
        <v>0</v>
      </c>
      <c r="M85" s="107">
        <v>95</v>
      </c>
      <c r="N85" s="107">
        <v>105</v>
      </c>
      <c r="O85" s="117">
        <f>RANDBETWEEN(M85*10+RANDBETWEEN(0,(N85-M85)*$O$73),N85*10-RANDBETWEEN(0,(N85-M85)*$O$72))/1/1000</f>
        <v>0.993</v>
      </c>
      <c r="Q85" s="119">
        <f t="shared" si="6"/>
        <v>10</v>
      </c>
      <c r="R85" s="121">
        <f t="shared" si="7"/>
      </c>
      <c r="T85" s="119">
        <f t="shared" si="1"/>
        <v>624</v>
      </c>
      <c r="U85" s="119">
        <f t="shared" si="2"/>
        <v>624</v>
      </c>
      <c r="W85" s="124">
        <f t="shared" si="8"/>
        <v>84811.62323345346</v>
      </c>
      <c r="X85" s="124">
        <f t="shared" si="9"/>
        <v>85646.06893032874</v>
      </c>
      <c r="Y85" s="124">
        <f t="shared" si="3"/>
        <v>85228.8460818911</v>
      </c>
      <c r="Z85" s="134">
        <f>SUM($T$76:T85)/SUM($T$76:$T$95)*100</f>
        <v>54.205046055266315</v>
      </c>
      <c r="AA85" s="152" t="str">
        <f t="shared" si="4"/>
        <v>Max</v>
      </c>
      <c r="AB85">
        <f t="shared" si="5"/>
        <v>624</v>
      </c>
    </row>
    <row r="86" spans="1:28" ht="12.75">
      <c r="A86" s="60" t="s">
        <v>95</v>
      </c>
      <c r="B86" s="7"/>
      <c r="C86" s="7"/>
      <c r="D86" s="86" t="s">
        <v>7</v>
      </c>
      <c r="E86" s="81">
        <f>IF(D86=40," ",40)</f>
        <v>40</v>
      </c>
      <c r="F86" s="7"/>
      <c r="G86" s="60" t="s">
        <v>96</v>
      </c>
      <c r="H86" s="7"/>
      <c r="I86" s="7"/>
      <c r="J86" s="88"/>
      <c r="K86" s="109">
        <f t="shared" si="0"/>
        <v>0.1978</v>
      </c>
      <c r="L86" s="108">
        <v>0.2</v>
      </c>
      <c r="M86" s="107">
        <v>95</v>
      </c>
      <c r="N86" s="107">
        <v>105</v>
      </c>
      <c r="O86" s="117">
        <f>RANDBETWEEN(M86*10+RANDBETWEEN(0,(N86-M86)*$O$73),N86*10-RANDBETWEEN(0,(N86-M86)*$O$72))/1/1000</f>
        <v>0.989</v>
      </c>
      <c r="Q86" s="119">
        <f t="shared" si="6"/>
        <v>11</v>
      </c>
      <c r="R86" s="121">
        <f t="shared" si="7"/>
      </c>
      <c r="T86" s="119">
        <f t="shared" si="1"/>
        <v>585</v>
      </c>
      <c r="U86" s="119">
        <f t="shared" si="2"/>
        <v>585</v>
      </c>
      <c r="W86" s="124">
        <f t="shared" si="8"/>
        <v>85646.06893032874</v>
      </c>
      <c r="X86" s="124">
        <f t="shared" si="9"/>
        <v>86480.51462720403</v>
      </c>
      <c r="Y86" s="124">
        <f t="shared" si="3"/>
        <v>86063.29177876638</v>
      </c>
      <c r="Z86" s="134">
        <f>SUM($T$76:T86)/SUM($T$76:$T$95)*100</f>
        <v>65.9191029235082</v>
      </c>
      <c r="AA86" s="152">
        <f t="shared" si="4"/>
      </c>
      <c r="AB86">
        <f t="shared" si="5"/>
        <v>585</v>
      </c>
    </row>
    <row r="87" spans="1:28" ht="12.75">
      <c r="A87" s="83" t="s">
        <v>97</v>
      </c>
      <c r="B87" s="5"/>
      <c r="C87" s="5"/>
      <c r="D87" s="89" t="s">
        <v>7</v>
      </c>
      <c r="E87" s="81">
        <f>IF(D87=15," ",15)</f>
        <v>15</v>
      </c>
      <c r="F87" s="7"/>
      <c r="G87" s="83" t="s">
        <v>98</v>
      </c>
      <c r="H87" s="5"/>
      <c r="I87" s="5"/>
      <c r="J87" s="6"/>
      <c r="K87" s="109">
        <f t="shared" si="0"/>
        <v>0</v>
      </c>
      <c r="L87" s="108">
        <v>0</v>
      </c>
      <c r="M87" s="107">
        <v>95</v>
      </c>
      <c r="N87" s="107">
        <v>105</v>
      </c>
      <c r="O87" s="117">
        <f>RANDBETWEEN(M87*10+RANDBETWEEN(0,(N87-M87)*$O$73),N87*10-RANDBETWEEN(0,(N87-M87)*$O$72))/1/1000</f>
        <v>1.002</v>
      </c>
      <c r="Q87" s="119">
        <f t="shared" si="6"/>
        <v>12</v>
      </c>
      <c r="R87" s="121">
        <f t="shared" si="7"/>
      </c>
      <c r="T87" s="119">
        <f t="shared" si="1"/>
        <v>508</v>
      </c>
      <c r="U87" s="119">
        <f t="shared" si="2"/>
        <v>508</v>
      </c>
      <c r="W87" s="124">
        <f t="shared" si="8"/>
        <v>86480.51462720403</v>
      </c>
      <c r="X87" s="124">
        <f t="shared" si="9"/>
        <v>87314.96032407932</v>
      </c>
      <c r="Y87" s="124">
        <f t="shared" si="3"/>
        <v>86897.73747564168</v>
      </c>
      <c r="Z87" s="134">
        <f>SUM($T$76:T87)/SUM($T$76:$T$95)*100</f>
        <v>76.0913095714858</v>
      </c>
      <c r="AA87" s="152">
        <f t="shared" si="4"/>
      </c>
      <c r="AB87">
        <f t="shared" si="5"/>
        <v>508</v>
      </c>
    </row>
    <row r="88" spans="1:28" ht="12.75">
      <c r="A88" s="87" t="s">
        <v>99</v>
      </c>
      <c r="B88" s="7"/>
      <c r="C88" s="7"/>
      <c r="D88" s="86" t="s">
        <v>7</v>
      </c>
      <c r="E88" s="81">
        <f>IF(D88=50," ",50)</f>
        <v>50</v>
      </c>
      <c r="F88" s="7"/>
      <c r="G88" s="87" t="s">
        <v>100</v>
      </c>
      <c r="H88" s="7"/>
      <c r="I88" s="7"/>
      <c r="J88" s="88"/>
      <c r="K88" s="109">
        <f t="shared" si="0"/>
        <v>0.993</v>
      </c>
      <c r="L88" s="108">
        <v>1</v>
      </c>
      <c r="M88" s="107">
        <v>95</v>
      </c>
      <c r="N88" s="107">
        <v>105</v>
      </c>
      <c r="O88" s="117">
        <f>RANDBETWEEN(M88*10+RANDBETWEEN(0,(N88-M88)*$O$73),N88*10-RANDBETWEEN(0,(N88-M88)*$O$72))/1/1000</f>
        <v>0.993</v>
      </c>
      <c r="Q88" s="119">
        <f t="shared" si="6"/>
        <v>13</v>
      </c>
      <c r="R88" s="121">
        <f t="shared" si="7"/>
      </c>
      <c r="T88" s="119">
        <f t="shared" si="1"/>
        <v>430</v>
      </c>
      <c r="U88" s="119">
        <f t="shared" si="2"/>
        <v>430</v>
      </c>
      <c r="W88" s="124">
        <f t="shared" si="8"/>
        <v>87314.96032407932</v>
      </c>
      <c r="X88" s="124">
        <f t="shared" si="9"/>
        <v>88149.4060209546</v>
      </c>
      <c r="Y88" s="124">
        <f t="shared" si="3"/>
        <v>87732.18317251696</v>
      </c>
      <c r="Z88" s="134">
        <f>SUM($T$76:T88)/SUM($T$76:$T$95)*100</f>
        <v>84.70164197036443</v>
      </c>
      <c r="AA88" s="152">
        <f t="shared" si="4"/>
      </c>
      <c r="AB88">
        <f t="shared" si="5"/>
        <v>430</v>
      </c>
    </row>
    <row r="89" spans="1:28" ht="12.75">
      <c r="A89" s="83" t="s">
        <v>101</v>
      </c>
      <c r="B89" s="5"/>
      <c r="C89" s="5"/>
      <c r="D89" s="89" t="s">
        <v>7</v>
      </c>
      <c r="E89" s="81">
        <f>IF(D89=20," ",20)</f>
        <v>20</v>
      </c>
      <c r="F89" s="7"/>
      <c r="G89" s="60" t="s">
        <v>102</v>
      </c>
      <c r="H89" s="7"/>
      <c r="I89" s="7"/>
      <c r="J89" s="88"/>
      <c r="K89" s="109">
        <f t="shared" si="0"/>
        <v>12.883</v>
      </c>
      <c r="L89" s="108">
        <v>13</v>
      </c>
      <c r="M89" s="107">
        <v>95</v>
      </c>
      <c r="N89" s="107">
        <v>105</v>
      </c>
      <c r="O89" s="117">
        <f>RANDBETWEEN(M89*10+RANDBETWEEN(0,(N89-M89)*$O$73),N89*10-RANDBETWEEN(0,(N89-M89)*$O$72))/1/1000</f>
        <v>0.991</v>
      </c>
      <c r="Q89" s="119">
        <f t="shared" si="6"/>
        <v>14</v>
      </c>
      <c r="R89" s="121">
        <f t="shared" si="7"/>
      </c>
      <c r="T89" s="119">
        <f t="shared" si="1"/>
        <v>307</v>
      </c>
      <c r="U89" s="119">
        <f t="shared" si="2"/>
        <v>307</v>
      </c>
      <c r="W89" s="124">
        <f t="shared" si="8"/>
        <v>88149.4060209546</v>
      </c>
      <c r="X89" s="124">
        <f t="shared" si="9"/>
        <v>88983.8517178299</v>
      </c>
      <c r="Y89" s="124">
        <f t="shared" si="3"/>
        <v>88566.62886939224</v>
      </c>
      <c r="Z89" s="134">
        <f>SUM($T$76:T89)/SUM($T$76:$T$95)*100</f>
        <v>90.8490188225871</v>
      </c>
      <c r="AA89" s="152">
        <f t="shared" si="4"/>
      </c>
      <c r="AB89">
        <f t="shared" si="5"/>
        <v>307</v>
      </c>
    </row>
    <row r="90" spans="1:28" ht="12.75">
      <c r="A90" s="60" t="s">
        <v>103</v>
      </c>
      <c r="B90" s="7"/>
      <c r="C90" s="7"/>
      <c r="D90" s="86" t="s">
        <v>7</v>
      </c>
      <c r="E90" s="81">
        <f>IF(D90=40," ",40)</f>
        <v>40</v>
      </c>
      <c r="F90" s="7"/>
      <c r="G90" s="4" t="s">
        <v>104</v>
      </c>
      <c r="H90" s="5"/>
      <c r="I90" s="5"/>
      <c r="J90" s="6"/>
      <c r="K90" s="109">
        <f t="shared" si="0"/>
        <v>10.03</v>
      </c>
      <c r="L90" s="108">
        <v>10</v>
      </c>
      <c r="M90" s="107">
        <v>95</v>
      </c>
      <c r="N90" s="107">
        <v>105</v>
      </c>
      <c r="O90" s="117">
        <f>RANDBETWEEN(M90*10+RANDBETWEEN(0,(N90-M90)*$O$73),N90*10-RANDBETWEEN(0,(N90-M90)*$O$72))/1/1000</f>
        <v>1.003</v>
      </c>
      <c r="Q90" s="119">
        <f t="shared" si="6"/>
        <v>15</v>
      </c>
      <c r="R90" s="121">
        <f t="shared" si="7"/>
      </c>
      <c r="T90" s="119">
        <f t="shared" si="1"/>
        <v>192</v>
      </c>
      <c r="U90" s="119">
        <f t="shared" si="2"/>
        <v>192</v>
      </c>
      <c r="W90" s="124">
        <f t="shared" si="8"/>
        <v>88983.8517178299</v>
      </c>
      <c r="X90" s="124">
        <f t="shared" si="9"/>
        <v>89818.29741470519</v>
      </c>
      <c r="Y90" s="124">
        <f t="shared" si="3"/>
        <v>89401.07456626755</v>
      </c>
      <c r="Z90" s="134">
        <f>SUM($T$76:T90)/SUM($T$76:$T$95)*100</f>
        <v>94.6936323588306</v>
      </c>
      <c r="AA90" s="152" t="str">
        <f t="shared" si="4"/>
        <v>Hi</v>
      </c>
      <c r="AB90">
        <f t="shared" si="5"/>
        <v>192</v>
      </c>
    </row>
    <row r="91" spans="1:28" ht="12.75">
      <c r="A91" s="83" t="s">
        <v>105</v>
      </c>
      <c r="B91" s="5"/>
      <c r="C91" s="5"/>
      <c r="D91" s="89" t="s">
        <v>7</v>
      </c>
      <c r="E91" s="81">
        <f>IF(D91=25," ",25)</f>
        <v>25</v>
      </c>
      <c r="F91" s="7"/>
      <c r="G91" s="4" t="s">
        <v>106</v>
      </c>
      <c r="H91" s="5"/>
      <c r="I91" s="5"/>
      <c r="J91" s="6"/>
      <c r="K91" s="109">
        <f t="shared" si="0"/>
        <v>0</v>
      </c>
      <c r="L91" s="108">
        <v>0</v>
      </c>
      <c r="M91" s="107">
        <v>95</v>
      </c>
      <c r="N91" s="107">
        <v>105</v>
      </c>
      <c r="O91" s="117">
        <f>RANDBETWEEN(M91*10+RANDBETWEEN(0,(N91-M91)*$O$73),N91*10-RANDBETWEEN(0,(N91-M91)*$O$72))/1/1000</f>
        <v>0.987</v>
      </c>
      <c r="Q91" s="119">
        <f t="shared" si="6"/>
        <v>16</v>
      </c>
      <c r="R91" s="121">
        <f t="shared" si="7"/>
      </c>
      <c r="T91" s="119">
        <f t="shared" si="1"/>
        <v>136</v>
      </c>
      <c r="U91" s="119">
        <f t="shared" si="2"/>
        <v>136</v>
      </c>
      <c r="W91" s="124">
        <f t="shared" si="8"/>
        <v>89818.29741470519</v>
      </c>
      <c r="X91" s="124">
        <f t="shared" si="9"/>
        <v>90652.74311158046</v>
      </c>
      <c r="Y91" s="124">
        <f t="shared" si="3"/>
        <v>90235.52026314283</v>
      </c>
      <c r="Z91" s="134">
        <f>SUM($T$76:T91)/SUM($T$76:$T$95)*100</f>
        <v>97.4169002803364</v>
      </c>
      <c r="AA91" s="152">
        <f t="shared" si="4"/>
      </c>
      <c r="AB91">
        <f t="shared" si="5"/>
        <v>0</v>
      </c>
    </row>
    <row r="92" spans="1:28" ht="12.75">
      <c r="A92" s="87" t="s">
        <v>107</v>
      </c>
      <c r="B92" s="7"/>
      <c r="C92" s="7"/>
      <c r="D92" s="86" t="s">
        <v>7</v>
      </c>
      <c r="E92" s="81">
        <f>IF(D92=40," ",40)</f>
        <v>40</v>
      </c>
      <c r="F92" s="7"/>
      <c r="G92" s="60" t="s">
        <v>108</v>
      </c>
      <c r="H92" s="7"/>
      <c r="I92" s="7"/>
      <c r="J92" s="88"/>
      <c r="K92" s="109">
        <f t="shared" si="0"/>
        <v>2.3782089689818866</v>
      </c>
      <c r="L92" s="108">
        <f>1548/65091*100</f>
        <v>2.3782089689818866</v>
      </c>
      <c r="M92" s="107">
        <v>95</v>
      </c>
      <c r="N92" s="107">
        <v>105</v>
      </c>
      <c r="O92" s="117">
        <f>RANDBETWEEN(M92*10+RANDBETWEEN(0,(N92-M92)*$O$73),N92*10-RANDBETWEEN(0,(N92-M92)*$O$72))/1/1000</f>
        <v>1</v>
      </c>
      <c r="Q92" s="119">
        <f t="shared" si="6"/>
        <v>17</v>
      </c>
      <c r="R92" s="121" t="str">
        <f t="shared" si="7"/>
        <v>Bang</v>
      </c>
      <c r="T92" s="119">
        <f t="shared" si="1"/>
        <v>70</v>
      </c>
      <c r="U92" s="119">
        <f t="shared" si="2"/>
        <v>71</v>
      </c>
      <c r="W92" s="124">
        <f t="shared" si="8"/>
        <v>90652.74311158046</v>
      </c>
      <c r="X92" s="124">
        <f t="shared" si="9"/>
        <v>91487.18880845576</v>
      </c>
      <c r="Y92" s="124">
        <f t="shared" si="3"/>
        <v>91069.9659600181</v>
      </c>
      <c r="Z92" s="134">
        <f>SUM($T$76:T92)/SUM($T$76:$T$95)*100</f>
        <v>98.8185822987585</v>
      </c>
      <c r="AA92" s="152">
        <f t="shared" si="4"/>
      </c>
      <c r="AB92">
        <f t="shared" si="5"/>
        <v>0</v>
      </c>
    </row>
    <row r="93" spans="1:28" ht="12.75">
      <c r="A93" s="4" t="s">
        <v>109</v>
      </c>
      <c r="B93" s="5"/>
      <c r="C93" s="5"/>
      <c r="D93" s="89" t="s">
        <v>7</v>
      </c>
      <c r="E93" s="81">
        <f>IF(D93=25," ",25)</f>
        <v>25</v>
      </c>
      <c r="F93" s="7"/>
      <c r="G93" s="4" t="s">
        <v>110</v>
      </c>
      <c r="H93" s="5"/>
      <c r="I93" s="5"/>
      <c r="J93" s="6"/>
      <c r="K93" s="109">
        <f t="shared" si="0"/>
        <v>3.0629999999999997</v>
      </c>
      <c r="L93" s="108">
        <v>3</v>
      </c>
      <c r="M93" s="107">
        <v>95</v>
      </c>
      <c r="N93" s="107">
        <v>105</v>
      </c>
      <c r="O93" s="117">
        <f>RANDBETWEEN(M93*10+RANDBETWEEN(0,(N93-M93)*$O$73),N93*10-RANDBETWEEN(0,(N93-M93)*$O$72))/1/1000</f>
        <v>1.021</v>
      </c>
      <c r="Q93" s="119">
        <f t="shared" si="6"/>
        <v>18</v>
      </c>
      <c r="R93" s="121">
        <f t="shared" si="7"/>
      </c>
      <c r="T93" s="119">
        <f t="shared" si="1"/>
        <v>37</v>
      </c>
      <c r="U93" s="119">
        <f t="shared" si="2"/>
        <v>37</v>
      </c>
      <c r="W93" s="124">
        <f t="shared" si="8"/>
        <v>91487.18880845576</v>
      </c>
      <c r="X93" s="124">
        <f t="shared" si="9"/>
        <v>92321.63450533105</v>
      </c>
      <c r="Y93" s="124">
        <f t="shared" si="3"/>
        <v>91904.41165689341</v>
      </c>
      <c r="Z93" s="134">
        <f>SUM($T$76:T93)/SUM($T$76:$T$95)*100</f>
        <v>99.55947136563876</v>
      </c>
      <c r="AA93" s="152">
        <f t="shared" si="4"/>
      </c>
      <c r="AB93">
        <f t="shared" si="5"/>
        <v>0</v>
      </c>
    </row>
    <row r="94" spans="1:28" ht="12.75">
      <c r="A94" s="60" t="s">
        <v>111</v>
      </c>
      <c r="B94" s="7"/>
      <c r="C94" s="7"/>
      <c r="D94" s="86" t="s">
        <v>7</v>
      </c>
      <c r="E94" s="81">
        <f>IF(D94=85," ",85)</f>
        <v>85</v>
      </c>
      <c r="F94" s="7"/>
      <c r="G94" s="60" t="s">
        <v>112</v>
      </c>
      <c r="H94" s="7"/>
      <c r="I94" s="7"/>
      <c r="J94" s="88"/>
      <c r="K94" s="109">
        <f t="shared" si="0"/>
        <v>226.982</v>
      </c>
      <c r="L94" s="108">
        <v>217</v>
      </c>
      <c r="M94" s="107">
        <v>95</v>
      </c>
      <c r="N94" s="107">
        <v>105</v>
      </c>
      <c r="O94" s="117">
        <f>RANDBETWEEN(M94*10+RANDBETWEEN(0,(N94-M94)*$O$73),N94*10-RANDBETWEEN(0,(N94-M94)*$O$72))/1/1000</f>
        <v>1.046</v>
      </c>
      <c r="Q94" s="119">
        <f t="shared" si="6"/>
        <v>19</v>
      </c>
      <c r="R94" s="121">
        <f t="shared" si="7"/>
      </c>
      <c r="T94" s="119">
        <f t="shared" si="1"/>
        <v>17</v>
      </c>
      <c r="U94" s="119">
        <f t="shared" si="2"/>
        <v>17</v>
      </c>
      <c r="W94" s="124">
        <f t="shared" si="8"/>
        <v>92321.63450533105</v>
      </c>
      <c r="X94" s="124">
        <f t="shared" si="9"/>
        <v>93156.08020220633</v>
      </c>
      <c r="Y94" s="124">
        <f t="shared" si="3"/>
        <v>92738.85735376869</v>
      </c>
      <c r="Z94" s="134">
        <f>SUM($T$76:T94)/SUM($T$76:$T$95)*100</f>
        <v>99.899879855827</v>
      </c>
      <c r="AA94" s="152">
        <f t="shared" si="4"/>
      </c>
      <c r="AB94">
        <f t="shared" si="5"/>
        <v>0</v>
      </c>
    </row>
    <row r="95" spans="1:28" ht="12.75">
      <c r="A95" s="4" t="s">
        <v>113</v>
      </c>
      <c r="B95" s="5"/>
      <c r="C95" s="5"/>
      <c r="D95" s="89" t="s">
        <v>7</v>
      </c>
      <c r="E95" s="81">
        <f>IF(D95=15," ",15)</f>
        <v>15</v>
      </c>
      <c r="F95" s="7"/>
      <c r="G95" s="4" t="s">
        <v>114</v>
      </c>
      <c r="H95" s="5"/>
      <c r="I95" s="5"/>
      <c r="J95" s="6"/>
      <c r="K95" s="109">
        <f t="shared" si="0"/>
        <v>188.374</v>
      </c>
      <c r="L95" s="108">
        <v>194</v>
      </c>
      <c r="M95" s="107">
        <v>95</v>
      </c>
      <c r="N95" s="107">
        <v>105</v>
      </c>
      <c r="O95" s="117">
        <f>RANDBETWEEN(M95*10+RANDBETWEEN(0,(N95-M95)*$O$73),N95*10-RANDBETWEEN(0,(N95-M95)*$O$72))/1/1000</f>
        <v>0.971</v>
      </c>
      <c r="Q95" s="119">
        <f t="shared" si="6"/>
        <v>20</v>
      </c>
      <c r="R95" s="121">
        <f t="shared" si="7"/>
      </c>
      <c r="T95" s="119">
        <f t="shared" si="1"/>
        <v>5</v>
      </c>
      <c r="U95" s="119">
        <f t="shared" si="2"/>
        <v>5</v>
      </c>
      <c r="W95" s="124">
        <f t="shared" si="8"/>
        <v>93156.08020220633</v>
      </c>
      <c r="X95" s="124">
        <f t="shared" si="9"/>
        <v>93990.52589908162</v>
      </c>
      <c r="Y95" s="124">
        <f t="shared" si="3"/>
        <v>93573.30305064397</v>
      </c>
      <c r="Z95" s="134">
        <f>SUM($T$76:T95)/SUM($T$76:$T$95)*100</f>
        <v>100</v>
      </c>
      <c r="AA95" s="152">
        <f t="shared" si="4"/>
      </c>
      <c r="AB95">
        <f t="shared" si="5"/>
        <v>0</v>
      </c>
    </row>
    <row r="96" spans="1:15" ht="12.75">
      <c r="A96" s="87" t="s">
        <v>115</v>
      </c>
      <c r="B96" s="7"/>
      <c r="C96" s="7"/>
      <c r="D96" s="86" t="s">
        <v>7</v>
      </c>
      <c r="E96" s="81">
        <f>IF(D96=50," ",50)</f>
        <v>50</v>
      </c>
      <c r="F96" s="7"/>
      <c r="G96" s="87" t="s">
        <v>64</v>
      </c>
      <c r="H96" s="7"/>
      <c r="I96" s="7"/>
      <c r="J96" s="88"/>
      <c r="K96" s="109">
        <f t="shared" si="0"/>
        <v>20.10592252750117</v>
      </c>
      <c r="L96" s="108">
        <f>15094/76724*100</f>
        <v>19.673114019081382</v>
      </c>
      <c r="M96" s="107">
        <v>95</v>
      </c>
      <c r="N96" s="107">
        <v>105</v>
      </c>
      <c r="O96" s="117">
        <f>RANDBETWEEN(M96*10+RANDBETWEEN(0,(N96-M96)*$O$73),N96*10-RANDBETWEEN(0,(N96-M96)*$O$72))/1/1000</f>
        <v>1.022</v>
      </c>
    </row>
    <row r="97" spans="1:28" ht="12.75">
      <c r="A97" s="83" t="s">
        <v>116</v>
      </c>
      <c r="B97" s="5"/>
      <c r="C97" s="5"/>
      <c r="D97" s="89" t="s">
        <v>7</v>
      </c>
      <c r="E97" s="81">
        <f>IF(D97=50," ",50)</f>
        <v>50</v>
      </c>
      <c r="F97" s="7"/>
      <c r="G97" s="60" t="s">
        <v>117</v>
      </c>
      <c r="H97" s="7"/>
      <c r="I97" s="7"/>
      <c r="J97" s="88"/>
      <c r="K97" s="109">
        <f t="shared" si="0"/>
        <v>3.968</v>
      </c>
      <c r="L97" s="108">
        <v>4</v>
      </c>
      <c r="M97" s="107">
        <v>95</v>
      </c>
      <c r="N97" s="107">
        <v>105</v>
      </c>
      <c r="O97" s="117">
        <f>RANDBETWEEN(M97*10+RANDBETWEEN(0,(N97-M97)*$O$73),N97*10-RANDBETWEEN(0,(N97-M97)*$O$72))/1/1000</f>
        <v>0.992</v>
      </c>
      <c r="T97" s="119">
        <f>SUM(T76:T95)</f>
        <v>4994</v>
      </c>
      <c r="U97" s="119">
        <f>SUM(U76:U95)</f>
        <v>4995</v>
      </c>
      <c r="AB97" s="119">
        <f>SUM(AB76:AB95)</f>
        <v>4410</v>
      </c>
    </row>
    <row r="98" spans="1:15" ht="12.75">
      <c r="A98" s="60" t="s">
        <v>118</v>
      </c>
      <c r="B98" s="7"/>
      <c r="C98" s="7"/>
      <c r="D98" s="86" t="s">
        <v>7</v>
      </c>
      <c r="E98" s="81">
        <f>IF(D98=50," ",50)</f>
        <v>50</v>
      </c>
      <c r="F98" s="7"/>
      <c r="G98" s="4" t="s">
        <v>119</v>
      </c>
      <c r="H98" s="5"/>
      <c r="I98" s="5"/>
      <c r="J98" s="6"/>
      <c r="K98" s="109">
        <f t="shared" si="0"/>
        <v>1.021</v>
      </c>
      <c r="L98" s="108">
        <v>1</v>
      </c>
      <c r="M98" s="107">
        <v>95</v>
      </c>
      <c r="N98" s="107">
        <v>105</v>
      </c>
      <c r="O98" s="117">
        <f>RANDBETWEEN(M98*10+RANDBETWEEN(0,(N98-M98)*$O$73),N98*10-RANDBETWEEN(0,(N98-M98)*$O$72))/1/1000</f>
        <v>1.021</v>
      </c>
    </row>
    <row r="99" spans="1:15" ht="12.75">
      <c r="A99" s="83" t="s">
        <v>120</v>
      </c>
      <c r="B99" s="5"/>
      <c r="C99" s="5"/>
      <c r="D99" s="89" t="s">
        <v>7</v>
      </c>
      <c r="E99" s="81">
        <f>IF(D99=50," ",50)</f>
        <v>50</v>
      </c>
      <c r="F99" s="7"/>
      <c r="G99" s="4" t="s">
        <v>121</v>
      </c>
      <c r="H99" s="5"/>
      <c r="I99" s="5"/>
      <c r="J99" s="6"/>
      <c r="K99" s="109">
        <f t="shared" si="0"/>
        <v>0</v>
      </c>
      <c r="L99" s="108">
        <v>0</v>
      </c>
      <c r="M99" s="107">
        <v>95</v>
      </c>
      <c r="N99" s="107">
        <v>105</v>
      </c>
      <c r="O99" s="117">
        <f>RANDBETWEEN(M99*10+RANDBETWEEN(0,(N99-M99)*$O$73),N99*10-RANDBETWEEN(0,(N99-M99)*$O$72))/1/1000</f>
        <v>1.001</v>
      </c>
    </row>
    <row r="100" spans="1:15" ht="12.75">
      <c r="A100" s="87" t="s">
        <v>122</v>
      </c>
      <c r="B100" s="7"/>
      <c r="C100" s="7"/>
      <c r="D100" s="93"/>
      <c r="E100" s="81">
        <f>IF(D100=80," ",80)</f>
        <v>80</v>
      </c>
      <c r="F100" s="7"/>
      <c r="G100" s="7"/>
      <c r="H100" s="7"/>
      <c r="I100" s="7"/>
      <c r="J100" s="7"/>
      <c r="K100" s="7"/>
      <c r="L100" s="7"/>
      <c r="N100" s="79"/>
      <c r="O100" s="79"/>
    </row>
    <row r="101" spans="1:24" ht="23.25">
      <c r="A101" s="83" t="s">
        <v>123</v>
      </c>
      <c r="B101" s="5"/>
      <c r="C101" s="5"/>
      <c r="D101" s="89" t="s">
        <v>7</v>
      </c>
      <c r="E101" s="81">
        <f>IF(D101=15," ",15)</f>
        <v>15</v>
      </c>
      <c r="F101" s="7"/>
      <c r="N101" s="79"/>
      <c r="O101" s="79"/>
      <c r="W101" s="135">
        <f>E68</f>
        <v>91150.34674358288</v>
      </c>
      <c r="X101" s="136" t="s">
        <v>198</v>
      </c>
    </row>
    <row r="102" spans="5:24" ht="23.25">
      <c r="E102" s="94" t="s">
        <v>7</v>
      </c>
      <c r="F102" s="7"/>
      <c r="N102" s="79"/>
      <c r="O102" s="79"/>
      <c r="W102" s="135">
        <f aca="true" t="array" ref="W102">SUM(T76:T95*Y76:Y95)/SUM(T76:T95)</f>
        <v>85423.00425164863</v>
      </c>
      <c r="X102" s="136" t="s">
        <v>197</v>
      </c>
    </row>
    <row r="103" spans="1:15" ht="11.25" customHeight="1">
      <c r="A103" s="9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66"/>
      <c r="N103" s="79"/>
      <c r="O103" s="79"/>
    </row>
    <row r="104" spans="14:15" ht="12.75">
      <c r="N104" s="79"/>
      <c r="O104" s="79"/>
    </row>
    <row r="105" spans="14:15" ht="12.75">
      <c r="N105" s="79"/>
      <c r="O105" s="79"/>
    </row>
    <row r="106" spans="14:15" ht="5.25" customHeight="1">
      <c r="N106" s="79"/>
      <c r="O106" s="79"/>
    </row>
    <row r="107" spans="14:15" ht="12.75">
      <c r="N107" s="79"/>
      <c r="O107" s="79"/>
    </row>
    <row r="108" spans="14:15" ht="12.75">
      <c r="N108" s="79"/>
      <c r="O108" s="79"/>
    </row>
    <row r="109" spans="14:15" ht="12.75">
      <c r="N109" s="79"/>
      <c r="O109" s="79"/>
    </row>
    <row r="110" spans="14:15" ht="12.75">
      <c r="N110" s="79"/>
      <c r="O110" s="79"/>
    </row>
    <row r="111" spans="14:15" ht="13.5" thickBot="1">
      <c r="N111" s="79"/>
      <c r="O111" s="79"/>
    </row>
    <row r="112" spans="14:27" ht="12.75">
      <c r="N112" s="79"/>
      <c r="O112" s="79"/>
      <c r="W112" s="103"/>
      <c r="Y112" s="137">
        <f>W102</f>
        <v>85423.00425164863</v>
      </c>
      <c r="Z112" s="138">
        <v>40</v>
      </c>
      <c r="AA112" s="159" t="s">
        <v>144</v>
      </c>
    </row>
    <row r="113" spans="14:27" ht="13.5" thickBot="1">
      <c r="N113" s="79"/>
      <c r="O113" s="79"/>
      <c r="W113" s="103"/>
      <c r="Y113" s="139">
        <f>W102</f>
        <v>85423.00425164863</v>
      </c>
      <c r="Z113" s="140">
        <f>VLOOKUP("Max",AA76:AB95,2,FALSE)</f>
        <v>624</v>
      </c>
      <c r="AA113" s="159"/>
    </row>
    <row r="114" spans="14:15" ht="13.5" thickBot="1">
      <c r="N114" s="79"/>
      <c r="O114" s="79"/>
    </row>
    <row r="115" spans="14:27" ht="12.75">
      <c r="N115" s="79"/>
      <c r="O115" s="79"/>
      <c r="Y115" s="141">
        <f>(100-$Y$127)/100*$W$102</f>
        <v>81151.8540390662</v>
      </c>
      <c r="Z115" s="142">
        <v>0</v>
      </c>
      <c r="AA115" s="160" t="s">
        <v>202</v>
      </c>
    </row>
    <row r="116" spans="14:27" ht="13.5" thickBot="1">
      <c r="N116" s="79"/>
      <c r="O116" s="79"/>
      <c r="Y116" s="143">
        <f>(100-$Y$127)/100*$W$102</f>
        <v>81151.8540390662</v>
      </c>
      <c r="Z116" s="144">
        <f>VLOOKUP("Lo",AA76:AB95,2,FALSE)</f>
        <v>263</v>
      </c>
      <c r="AA116" s="160"/>
    </row>
    <row r="117" spans="14:15" ht="13.5" thickBot="1">
      <c r="N117" s="79"/>
      <c r="O117" s="79"/>
    </row>
    <row r="118" spans="14:27" ht="12.75">
      <c r="N118" s="79"/>
      <c r="O118" s="79"/>
      <c r="Y118" s="145">
        <f>(100+$Y$127)/100*$W$102</f>
        <v>89694.15446423106</v>
      </c>
      <c r="Z118" s="146">
        <v>0</v>
      </c>
      <c r="AA118" s="161" t="s">
        <v>203</v>
      </c>
    </row>
    <row r="119" spans="14:27" ht="13.5" thickBot="1">
      <c r="N119" s="79"/>
      <c r="O119" s="79"/>
      <c r="Y119" s="147">
        <f>(100+$Y$127)/100*$W$102</f>
        <v>89694.15446423106</v>
      </c>
      <c r="Z119" s="148">
        <f>VLOOKUP("Hi",AA76:AB95,2,FALSE)</f>
        <v>192</v>
      </c>
      <c r="AA119" s="161"/>
    </row>
    <row r="120" spans="14:15" ht="12.75">
      <c r="N120" s="79"/>
      <c r="O120" s="79"/>
    </row>
    <row r="121" spans="14:15" ht="12.75">
      <c r="N121" s="79"/>
      <c r="O121" s="79"/>
    </row>
    <row r="122" spans="14:15" ht="12.75">
      <c r="N122" s="79"/>
      <c r="O122" s="79"/>
    </row>
    <row r="123" spans="14:15" ht="13.5" thickBot="1">
      <c r="N123" s="79"/>
      <c r="O123" s="79"/>
    </row>
    <row r="124" spans="14:26" ht="12.75">
      <c r="N124" s="79"/>
      <c r="O124" s="79"/>
      <c r="Y124" s="162" t="s">
        <v>199</v>
      </c>
      <c r="Z124" s="163"/>
    </row>
    <row r="125" spans="14:26" ht="12.75">
      <c r="N125" s="79"/>
      <c r="O125" s="79"/>
      <c r="Y125" s="149">
        <f>AB97/U97*100</f>
        <v>88.28828828828829</v>
      </c>
      <c r="Z125" s="150"/>
    </row>
    <row r="126" spans="14:26" ht="12.75">
      <c r="N126" s="79"/>
      <c r="O126" s="79"/>
      <c r="Y126" s="153" t="s">
        <v>200</v>
      </c>
      <c r="Z126" s="154"/>
    </row>
    <row r="127" spans="14:26" ht="12.75">
      <c r="N127" s="79"/>
      <c r="O127" s="79"/>
      <c r="Y127" s="151">
        <v>5</v>
      </c>
      <c r="Z127" s="150"/>
    </row>
    <row r="128" spans="14:26" ht="12.75">
      <c r="N128" s="79"/>
      <c r="O128" s="79"/>
      <c r="Y128" s="155" t="s">
        <v>201</v>
      </c>
      <c r="Z128" s="156"/>
    </row>
    <row r="129" spans="14:26" ht="13.5" thickBot="1">
      <c r="N129" s="79"/>
      <c r="O129" s="79"/>
      <c r="Y129" s="157"/>
      <c r="Z129" s="158"/>
    </row>
    <row r="130" spans="14:15" ht="12.75">
      <c r="N130" s="79"/>
      <c r="O130" s="79"/>
    </row>
    <row r="131" spans="14:15" ht="12.75">
      <c r="N131" s="79"/>
      <c r="O131" s="79"/>
    </row>
    <row r="132" spans="14:15" ht="12.75">
      <c r="N132" s="79"/>
      <c r="O132" s="79"/>
    </row>
    <row r="133" spans="14:15" ht="12.75">
      <c r="N133" s="79"/>
      <c r="O133" s="79"/>
    </row>
    <row r="134" spans="14:15" ht="12.75">
      <c r="N134" s="79"/>
      <c r="O134" s="79"/>
    </row>
    <row r="135" spans="14:15" ht="12.75">
      <c r="N135" s="79"/>
      <c r="O135" s="79"/>
    </row>
    <row r="136" spans="14:15" ht="12.75">
      <c r="N136" s="79"/>
      <c r="O136" s="79"/>
    </row>
    <row r="137" spans="14:15" ht="12.75">
      <c r="N137" s="79"/>
      <c r="O137" s="79"/>
    </row>
    <row r="138" spans="14:15" ht="12.75">
      <c r="N138" s="79"/>
      <c r="O138" s="79"/>
    </row>
    <row r="162" ht="6" customHeight="1"/>
    <row r="163" spans="15:16" ht="12.75">
      <c r="O163" s="79"/>
      <c r="P163" s="79"/>
    </row>
    <row r="164" spans="15:16" ht="10.5" customHeight="1">
      <c r="O164" s="79"/>
      <c r="P164" s="79"/>
    </row>
    <row r="165" spans="15:16" ht="12.75">
      <c r="O165" s="79"/>
      <c r="P165" s="79"/>
    </row>
    <row r="166" spans="15:16" ht="12.75">
      <c r="O166" s="79"/>
      <c r="P166" s="79"/>
    </row>
    <row r="167" spans="15:16" ht="12.75">
      <c r="O167" s="79"/>
      <c r="P167" s="79"/>
    </row>
    <row r="168" spans="15:16" ht="12.75">
      <c r="O168" s="79"/>
      <c r="P168" s="79"/>
    </row>
    <row r="169" spans="15:16" ht="9" customHeight="1">
      <c r="O169" s="79"/>
      <c r="P169" s="79"/>
    </row>
    <row r="170" spans="15:16" ht="12.75">
      <c r="O170" s="79"/>
      <c r="P170" s="79"/>
    </row>
    <row r="171" spans="15:16" ht="12.75">
      <c r="O171" s="79"/>
      <c r="P171" s="79"/>
    </row>
    <row r="172" spans="15:16" ht="12.75">
      <c r="O172" s="79"/>
      <c r="P172" s="79"/>
    </row>
    <row r="173" spans="15:16" ht="12.75">
      <c r="O173" s="79"/>
      <c r="P173" s="79"/>
    </row>
    <row r="174" spans="15:16" ht="12.75">
      <c r="O174" s="79"/>
      <c r="P174" s="79"/>
    </row>
    <row r="175" spans="15:16" ht="12.75">
      <c r="O175" s="79"/>
      <c r="P175" s="79"/>
    </row>
    <row r="176" spans="15:16" ht="12.75">
      <c r="O176" s="79"/>
      <c r="P176" s="79"/>
    </row>
    <row r="177" spans="15:16" ht="12.75">
      <c r="O177" s="79"/>
      <c r="P177" s="79"/>
    </row>
    <row r="178" spans="15:16" ht="12.75">
      <c r="O178" s="79"/>
      <c r="P178" s="79"/>
    </row>
    <row r="179" spans="15:16" ht="12.75">
      <c r="O179" s="79"/>
      <c r="P179" s="79"/>
    </row>
    <row r="180" spans="15:16" ht="12.75">
      <c r="O180" s="79"/>
      <c r="P180" s="79"/>
    </row>
    <row r="181" spans="15:16" ht="12.75">
      <c r="O181" s="79"/>
      <c r="P181" s="79"/>
    </row>
    <row r="182" spans="15:16" ht="12.75">
      <c r="O182" s="79"/>
      <c r="P182" s="79"/>
    </row>
    <row r="183" spans="15:16" ht="12.75">
      <c r="O183" s="79"/>
      <c r="P183" s="79"/>
    </row>
    <row r="184" spans="15:16" ht="12.75">
      <c r="O184" s="79"/>
      <c r="P184" s="79"/>
    </row>
    <row r="185" spans="15:16" ht="12.75">
      <c r="O185" s="79"/>
      <c r="P185" s="79"/>
    </row>
    <row r="186" spans="15:16" ht="12.75">
      <c r="O186" s="79"/>
      <c r="P186" s="79"/>
    </row>
    <row r="187" spans="15:16" ht="12.75">
      <c r="O187" s="79"/>
      <c r="P187" s="79"/>
    </row>
    <row r="188" spans="15:16" ht="12.75">
      <c r="O188" s="79"/>
      <c r="P188" s="79"/>
    </row>
    <row r="189" spans="15:16" ht="12.75">
      <c r="O189" s="79"/>
      <c r="P189" s="79"/>
    </row>
    <row r="190" spans="15:16" ht="12.75">
      <c r="O190" s="79"/>
      <c r="P190" s="79"/>
    </row>
    <row r="191" spans="15:16" ht="12.75">
      <c r="O191" s="79"/>
      <c r="P191" s="79"/>
    </row>
    <row r="192" spans="15:16" ht="12.75">
      <c r="O192" s="79"/>
      <c r="P192" s="79"/>
    </row>
    <row r="193" spans="15:16" ht="12.75">
      <c r="O193" s="79"/>
      <c r="P193" s="79"/>
    </row>
    <row r="194" spans="15:16" ht="12.75">
      <c r="O194" s="79"/>
      <c r="P194" s="79"/>
    </row>
    <row r="195" spans="15:16" ht="12.75">
      <c r="O195" s="79"/>
      <c r="P195" s="79"/>
    </row>
    <row r="196" spans="15:16" ht="12.75">
      <c r="O196" s="79"/>
      <c r="P196" s="79"/>
    </row>
    <row r="197" spans="15:16" ht="12.75">
      <c r="O197" s="79"/>
      <c r="P197" s="79"/>
    </row>
    <row r="198" spans="15:16" ht="12.75">
      <c r="O198" s="79"/>
      <c r="P198" s="79"/>
    </row>
    <row r="199" spans="15:16" ht="12.75">
      <c r="O199" s="79"/>
      <c r="P199" s="79"/>
    </row>
    <row r="200" spans="15:16" ht="12.75">
      <c r="O200" s="79"/>
      <c r="P200" s="79"/>
    </row>
    <row r="201" spans="15:16" ht="12.75">
      <c r="O201" s="79"/>
      <c r="P201" s="79"/>
    </row>
    <row r="202" spans="15:16" ht="12.75">
      <c r="O202" s="79"/>
      <c r="P202" s="79"/>
    </row>
    <row r="203" spans="15:16" ht="12.75">
      <c r="O203" s="79"/>
      <c r="P203" s="79"/>
    </row>
    <row r="204" spans="15:16" ht="12.75">
      <c r="O204" s="79"/>
      <c r="P204" s="79"/>
    </row>
    <row r="205" spans="15:16" ht="12.75">
      <c r="O205" s="79"/>
      <c r="P205" s="79"/>
    </row>
    <row r="206" spans="15:16" ht="12.75">
      <c r="O206" s="79"/>
      <c r="P206" s="79"/>
    </row>
    <row r="207" spans="15:16" ht="12.75">
      <c r="O207" s="79"/>
      <c r="P207" s="79"/>
    </row>
    <row r="208" spans="15:16" ht="12.75">
      <c r="O208" s="79"/>
      <c r="P208" s="79"/>
    </row>
    <row r="209" spans="15:16" ht="12.75">
      <c r="O209" s="79"/>
      <c r="P209" s="79"/>
    </row>
    <row r="210" spans="15:16" ht="12.75">
      <c r="O210" s="79"/>
      <c r="P210" s="79"/>
    </row>
    <row r="211" spans="15:16" ht="12.75">
      <c r="O211" s="79"/>
      <c r="P211" s="79"/>
    </row>
    <row r="212" spans="15:16" ht="12.75">
      <c r="O212" s="79"/>
      <c r="P212" s="79"/>
    </row>
    <row r="213" spans="15:16" ht="12.75">
      <c r="O213" s="79"/>
      <c r="P213" s="79"/>
    </row>
    <row r="214" spans="15:16" ht="12.75">
      <c r="O214" s="79"/>
      <c r="P214" s="79"/>
    </row>
    <row r="215" spans="15:16" ht="12.75">
      <c r="O215" s="79"/>
      <c r="P215" s="79"/>
    </row>
    <row r="216" spans="15:16" ht="12.75">
      <c r="O216" s="79"/>
      <c r="P216" s="79"/>
    </row>
    <row r="217" spans="15:16" ht="12.75">
      <c r="O217" s="79"/>
      <c r="P217" s="79"/>
    </row>
    <row r="218" spans="15:16" ht="12.75">
      <c r="O218" s="79"/>
      <c r="P218" s="79"/>
    </row>
    <row r="219" spans="15:16" ht="12.75">
      <c r="O219" s="79"/>
      <c r="P219" s="79"/>
    </row>
    <row r="220" spans="15:16" ht="12.75">
      <c r="O220" s="79"/>
      <c r="P220" s="79"/>
    </row>
    <row r="221" spans="15:16" ht="12.75">
      <c r="O221" s="79"/>
      <c r="P221" s="79"/>
    </row>
    <row r="222" spans="15:16" ht="12.75">
      <c r="O222" s="79"/>
      <c r="P222" s="79"/>
    </row>
    <row r="223" spans="15:16" ht="12.75">
      <c r="O223" s="79"/>
      <c r="P223" s="79"/>
    </row>
    <row r="224" spans="15:16" ht="12.75">
      <c r="O224" s="79"/>
      <c r="P224" s="79"/>
    </row>
    <row r="225" spans="15:16" ht="12.75">
      <c r="O225" s="79"/>
      <c r="P225" s="79"/>
    </row>
    <row r="226" spans="15:16" ht="12.75">
      <c r="O226" s="79"/>
      <c r="P226" s="79"/>
    </row>
    <row r="227" spans="15:16" ht="12.75">
      <c r="O227" s="79"/>
      <c r="P227" s="79"/>
    </row>
    <row r="228" spans="15:16" ht="12.75">
      <c r="O228" s="79"/>
      <c r="P228" s="79"/>
    </row>
    <row r="229" spans="15:16" ht="12.75">
      <c r="O229" s="79"/>
      <c r="P229" s="79"/>
    </row>
    <row r="230" spans="15:16" ht="12.75">
      <c r="O230" s="79"/>
      <c r="P230" s="79"/>
    </row>
    <row r="231" spans="15:16" ht="12.75">
      <c r="O231" s="79"/>
      <c r="P231" s="79"/>
    </row>
    <row r="232" spans="15:16" ht="12.75">
      <c r="O232" s="79"/>
      <c r="P232" s="79"/>
    </row>
    <row r="233" spans="15:16" ht="12.75">
      <c r="O233" s="79"/>
      <c r="P233" s="79"/>
    </row>
    <row r="234" spans="15:16" ht="12.75">
      <c r="O234" s="79"/>
      <c r="P234" s="79"/>
    </row>
    <row r="235" spans="15:16" ht="12.75">
      <c r="O235" s="79"/>
      <c r="P235" s="79"/>
    </row>
    <row r="236" spans="15:16" ht="12.75">
      <c r="O236" s="79"/>
      <c r="P236" s="79"/>
    </row>
    <row r="237" spans="15:16" ht="12.75">
      <c r="O237" s="79"/>
      <c r="P237" s="79"/>
    </row>
    <row r="238" spans="15:16" ht="12.75">
      <c r="O238" s="79"/>
      <c r="P238" s="79"/>
    </row>
    <row r="239" spans="15:16" ht="12.75">
      <c r="O239" s="79"/>
      <c r="P239" s="79"/>
    </row>
    <row r="240" spans="15:16" ht="12.75">
      <c r="O240" s="79"/>
      <c r="P240" s="79"/>
    </row>
    <row r="241" spans="15:16" ht="12.75">
      <c r="O241" s="79"/>
      <c r="P241" s="79"/>
    </row>
    <row r="242" spans="15:16" ht="12.75">
      <c r="O242" s="79"/>
      <c r="P242" s="79"/>
    </row>
    <row r="243" spans="15:16" ht="12.75">
      <c r="O243" s="79"/>
      <c r="P243" s="79"/>
    </row>
    <row r="244" spans="15:16" ht="12.75">
      <c r="O244" s="79"/>
      <c r="P244" s="79"/>
    </row>
    <row r="245" spans="15:16" ht="12.75">
      <c r="O245" s="79"/>
      <c r="P245" s="79"/>
    </row>
  </sheetData>
  <sheetProtection password="C923"/>
  <mergeCells count="6">
    <mergeCell ref="Y126:Z126"/>
    <mergeCell ref="Y128:Z129"/>
    <mergeCell ref="AA112:AA113"/>
    <mergeCell ref="AA115:AA116"/>
    <mergeCell ref="AA118:AA119"/>
    <mergeCell ref="Y124:Z124"/>
  </mergeCells>
  <printOptions/>
  <pageMargins left="0.5" right="0.5" top="0.63" bottom="0.5" header="0.5" footer="0.5"/>
  <pageSetup horizontalDpi="180" verticalDpi="18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2005-02-14T15:23:46Z</dcterms:created>
  <dcterms:modified xsi:type="dcterms:W3CDTF">2019-08-28T19:09:40Z</dcterms:modified>
  <cp:category/>
  <cp:version/>
  <cp:contentType/>
  <cp:contentStatus/>
</cp:coreProperties>
</file>