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980" windowHeight="6735" firstSheet="1" activeTab="1"/>
  </bookViews>
  <sheets>
    <sheet name="Fractional Lending" sheetId="1" state="hidden" r:id="rId1"/>
    <sheet name="Monetization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<sst xmlns="http://schemas.openxmlformats.org/spreadsheetml/2006/main" count="47" uniqueCount="46">
  <si>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Lent Out</t>
  </si>
  <si>
    <t>Reserves</t>
  </si>
  <si>
    <t>Reserve Fraction, % =</t>
  </si>
  <si>
    <t>Bank No.</t>
  </si>
  <si>
    <t>Initial Deposit to Bank 1, $ =</t>
  </si>
  <si>
    <t>Accumulated</t>
  </si>
  <si>
    <t>Loans</t>
  </si>
  <si>
    <t>Bank</t>
  </si>
  <si>
    <t>Reserve</t>
  </si>
  <si>
    <t>Borrowers</t>
  </si>
  <si>
    <t>Purchases</t>
  </si>
  <si>
    <t>Income</t>
  </si>
  <si>
    <t>Sellers</t>
  </si>
  <si>
    <t>Principal + Interest</t>
  </si>
  <si>
    <t>Deposited &amp;</t>
  </si>
  <si>
    <t>Sellers' Total Deposits</t>
  </si>
  <si>
    <t>Bank Cycle =</t>
  </si>
  <si>
    <t>The FED</t>
  </si>
  <si>
    <t>Government Securities Dealer</t>
  </si>
  <si>
    <t xml:space="preserve">    Resulting Loans from Deposits</t>
  </si>
  <si>
    <t>FED Open Market Operation</t>
  </si>
  <si>
    <t>Citizens &amp; Corporations</t>
  </si>
  <si>
    <t>US Government</t>
  </si>
  <si>
    <t>Foreign and Other Investors</t>
  </si>
  <si>
    <t>Federal Programs</t>
  </si>
  <si>
    <t>Reserve, % =</t>
  </si>
  <si>
    <t>Budget Deficit</t>
  </si>
  <si>
    <t>Commercial Banks</t>
  </si>
  <si>
    <t>Fractional Reserves from Initial &amp; Others' Deposits</t>
  </si>
  <si>
    <t>Bank Reserve Accounts</t>
  </si>
  <si>
    <t>Figures in Billion Dollars</t>
  </si>
  <si>
    <t>from the economy eventually   is used to Pay-Off the Loans</t>
  </si>
  <si>
    <t>Red Numbers are Inputs</t>
  </si>
  <si>
    <t xml:space="preserve">               Adjustments</t>
  </si>
  <si>
    <t xml:space="preserve">    (input blue if positive)    </t>
  </si>
  <si>
    <t>No Open Market Operations or Monetization)</t>
  </si>
  <si>
    <t>A Simplistic U.S. Fractional Reserve Banking &amp; Monetary System for Study</t>
  </si>
  <si>
    <t>Money in Billions of Dollars</t>
  </si>
  <si>
    <t>Currency (M0) =</t>
  </si>
  <si>
    <t>Money Base (MB) =</t>
  </si>
  <si>
    <t>Money Supply (M1) =</t>
  </si>
  <si>
    <t>Money Supply + Savings (M2) =</t>
  </si>
  <si>
    <t>Tax $$$</t>
  </si>
  <si>
    <t>Spending $$$</t>
  </si>
  <si>
    <t>Initial Deposit  =</t>
  </si>
  <si>
    <t>(use 200, 10% &amp; 88.9 for 2010 conditions,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</si>
</sst>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eposit No. &quot;0"/>
    <numFmt numFmtId="165" formatCode="&quot;Income &quot;&quot;$&quot;#,##0"/>
    <numFmt numFmtId="166" formatCode="&quot;$&quot;#,##0"/>
    <numFmt numFmtId="167" formatCode="&quot;For Deposit No. &quot;0"/>
    <numFmt numFmtId="168" formatCode="&quot;Deposit for Cycle No. &quot;0"/>
    <numFmt numFmtId="169" formatCode="&quot;Bank Cycle &quot;0"/>
    <numFmt numFmtId="170" formatCode="&quot;Cycle &quot;0"/>
    <numFmt numFmtId="171" formatCode="&quot;T-Bills &quot;&quot;$&quot;#,##0_);[Red]\(&quot;$&quot;#,##0\)"/>
    <numFmt numFmtId="172" formatCode="&quot;$&quot;#,##0_);[Red]\(&quot;$&quot;#,##0\)&quot; In T-Bills&quot;"/>
    <numFmt numFmtId="173" formatCode="&quot;$&quot;#,##0&quot; In T-Bills&quot;"/>
    <numFmt numFmtId="174" formatCode="&quot;T-Bills in the Amount of &quot;&quot;$&quot;#,##0"/>
    <numFmt numFmtId="175" formatCode="&quot;T-Bills in the Amount of. . . &quot;&quot;$&quot;#,##0"/>
    <numFmt numFmtId="176" formatCode="&quot;t-Bills in the Amount of . . . &quot;&quot;$&quot;#,##0_);[Red]\(&quot;$&quot;#,##0\)"/>
    <numFmt numFmtId="177" formatCode="&quot;T-Bills in the Amount of . . . &quot;&quot;$&quot;#,##0_);[Red]\(&quot;$&quot;#,##0\)"/>
    <numFmt numFmtId="178" formatCode="&quot;$ &quot;#,##0"/>
    <numFmt numFmtId="179" formatCode="&quot;$&quot;#,##0&quot; Debt Monitization&quot;"/>
    <numFmt numFmtId="180" formatCode="&quot;$&quot;#,##0&quot; Debt Monitization (Money Printed)&quot;"/>
    <numFmt numFmtId="181" formatCode="&quot;$&quot;#,##0&quot; Monitization (Money Printed)&quot;"/>
    <numFmt numFmtId="182" formatCode="&quot;$&quot;#,##0&quot; - Monitization (Money Printed)&quot;"/>
    <numFmt numFmtId="183" formatCode="&quot;   &quot;#,##0"/>
    <numFmt numFmtId="184" formatCode="&quot;  &quot;#,##0"/>
    <numFmt numFmtId="185" formatCode="&quot;  &quot;#,##0&quot;      &quot;"/>
    <numFmt numFmtId="186" formatCode="&quot; &quot;#,##0"/>
    <numFmt numFmtId="187" formatCode="#,##0.0"/>
    <numFmt numFmtId="188" formatCode="0&quot; %&quot;"/>
    <numFmt numFmtId="189" formatCode="0.0"/>
    <numFmt numFmtId="190" formatCode="0.0&quot; %&quot;"/>
    <numFmt numFmtId="191" formatCode="0.00&quot; %&quot;"/>
  </numFmts>
  <fonts count="7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0"/>
      <color indexed="22"/>
      <name val="Arial"/>
      <family val="2"/>
    </font>
    <font>
      <b/>
      <sz val="14"/>
      <color indexed="10"/>
      <name val="Arial"/>
      <family val="2"/>
    </font>
    <font>
      <b/>
      <sz val="14"/>
      <color indexed="15"/>
      <name val="Arial"/>
      <family val="2"/>
    </font>
    <font>
      <sz val="24"/>
      <name val="Arial"/>
      <family val="2"/>
    </font>
    <font>
      <sz val="24"/>
      <color indexed="9"/>
      <name val="Arial"/>
      <family val="2"/>
    </font>
    <font>
      <sz val="14"/>
      <color indexed="22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15"/>
      <name val="Arial"/>
      <family val="2"/>
    </font>
    <font>
      <sz val="16"/>
      <color indexed="15"/>
      <name val="Arial"/>
      <family val="2"/>
    </font>
    <font>
      <b/>
      <sz val="12"/>
      <color indexed="45"/>
      <name val="Arial"/>
      <family val="2"/>
    </font>
    <font>
      <b/>
      <sz val="12"/>
      <color indexed="22"/>
      <name val="Arial"/>
      <family val="2"/>
    </font>
    <font>
      <b/>
      <sz val="11"/>
      <color indexed="8"/>
      <name val="Arial"/>
      <family val="2"/>
    </font>
    <font>
      <b/>
      <sz val="11"/>
      <color indexed="22"/>
      <name val="Arial"/>
      <family val="2"/>
    </font>
    <font>
      <sz val="11"/>
      <name val="Arial"/>
      <family val="2"/>
    </font>
    <font>
      <b/>
      <sz val="16"/>
      <color indexed="15"/>
      <name val="Arial"/>
      <family val="2"/>
    </font>
    <font>
      <b/>
      <sz val="16"/>
      <color indexed="11"/>
      <name val="Arial"/>
      <family val="2"/>
    </font>
    <font>
      <sz val="16"/>
      <color indexed="13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16"/>
      <color indexed="51"/>
      <name val="Arial"/>
      <family val="2"/>
    </font>
    <font>
      <b/>
      <sz val="18"/>
      <color indexed="53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i/>
      <sz val="18"/>
      <color indexed="9"/>
      <name val="Arial"/>
      <family val="2"/>
    </font>
    <font>
      <i/>
      <sz val="10"/>
      <color indexed="9"/>
      <name val="Arial"/>
      <family val="2"/>
    </font>
    <font>
      <sz val="14"/>
      <color indexed="5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color indexed="5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color indexed="11"/>
      <name val="Arial"/>
      <family val="2"/>
    </font>
    <font>
      <b/>
      <sz val="11"/>
      <color indexed="50"/>
      <name val="Arial"/>
      <family val="2"/>
    </font>
    <font>
      <sz val="11"/>
      <color indexed="50"/>
      <name val="Arial"/>
      <family val="2"/>
    </font>
    <font>
      <b/>
      <sz val="16"/>
      <color indexed="50"/>
      <name val="Arial"/>
      <family val="2"/>
    </font>
    <font>
      <sz val="10"/>
      <color indexed="50"/>
      <name val="Arial"/>
      <family val="2"/>
    </font>
    <font>
      <sz val="22"/>
      <color indexed="10"/>
      <name val="Arial"/>
      <family val="2"/>
    </font>
    <font>
      <sz val="11"/>
      <color indexed="11"/>
      <name val="Arial"/>
      <family val="2"/>
    </font>
    <font>
      <b/>
      <sz val="11"/>
      <color indexed="15"/>
      <name val="Arial"/>
      <family val="2"/>
    </font>
    <font>
      <sz val="16"/>
      <color indexed="9"/>
      <name val="Arial"/>
      <family val="2"/>
    </font>
    <font>
      <b/>
      <sz val="20"/>
      <color indexed="5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4"/>
      <color indexed="9"/>
      <name val="Arial"/>
      <family val="2"/>
    </font>
    <font>
      <b/>
      <sz val="12"/>
      <color indexed="51"/>
      <name val="Arial"/>
      <family val="2"/>
    </font>
    <font>
      <sz val="10"/>
      <color indexed="51"/>
      <name val="Arial"/>
      <family val="2"/>
    </font>
    <font>
      <b/>
      <sz val="12"/>
      <color indexed="10"/>
      <name val="Arial"/>
      <family val="2"/>
    </font>
    <font>
      <b/>
      <sz val="12"/>
      <color indexed="15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sz val="10"/>
      <color indexed="9"/>
      <name val="Arial"/>
      <family val="2"/>
    </font>
    <font>
      <b/>
      <i/>
      <sz val="18"/>
      <color indexed="13"/>
      <name val="Arial"/>
      <family val="2"/>
    </font>
    <font>
      <sz val="14"/>
      <color indexed="13"/>
      <name val="Arial"/>
      <family val="2"/>
    </font>
    <font>
      <b/>
      <sz val="18"/>
      <color indexed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6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9"/>
        <bgColor indexed="15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11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5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 style="dashDot">
        <color indexed="51"/>
      </left>
      <right>
        <color indexed="63"/>
      </right>
      <top style="thick">
        <color indexed="51"/>
      </top>
      <bottom>
        <color indexed="63"/>
      </bottom>
    </border>
    <border>
      <left style="dashDot">
        <color indexed="51"/>
      </left>
      <right>
        <color indexed="63"/>
      </right>
      <top>
        <color indexed="63"/>
      </top>
      <bottom style="dashDot">
        <color indexed="51"/>
      </bottom>
    </border>
    <border>
      <left>
        <color indexed="63"/>
      </left>
      <right style="dashDot">
        <color indexed="51"/>
      </right>
      <top style="thick">
        <color indexed="49"/>
      </top>
      <bottom>
        <color indexed="63"/>
      </bottom>
    </border>
    <border>
      <left>
        <color indexed="63"/>
      </left>
      <right style="dashDot">
        <color indexed="51"/>
      </right>
      <top>
        <color indexed="63"/>
      </top>
      <bottom style="dashDot">
        <color indexed="51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2"/>
      </diagonal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ck">
        <color indexed="51"/>
      </right>
      <top>
        <color indexed="63"/>
      </top>
      <bottom style="thin">
        <color indexed="22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9"/>
      </diagonal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49"/>
      </right>
      <top style="thick">
        <color indexed="10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10"/>
      </bottom>
    </border>
    <border>
      <left>
        <color indexed="63"/>
      </left>
      <right style="thick">
        <color indexed="22"/>
      </right>
      <top style="thick">
        <color indexed="49"/>
      </top>
      <bottom>
        <color indexed="63"/>
      </bottom>
    </border>
    <border>
      <left style="thick">
        <color indexed="49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22"/>
      </top>
      <bottom style="thick">
        <color indexed="10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10"/>
      </left>
      <right>
        <color indexed="63"/>
      </right>
      <top style="thick">
        <color indexed="15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9"/>
      </diagonal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9" fillId="2" borderId="0" xfId="0" applyFont="1" applyFill="1" applyAlignment="1" applyProtection="1">
      <alignment horizontal="lef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3" fontId="7" fillId="0" borderId="0" xfId="0" applyNumberFormat="1" applyFont="1" applyAlignment="1" applyProtection="1">
      <alignment horizontal="left"/>
      <protection hidden="1"/>
    </xf>
    <xf numFmtId="3" fontId="4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/>
      <protection hidden="1"/>
    </xf>
    <xf numFmtId="165" fontId="8" fillId="2" borderId="0" xfId="0" applyNumberFormat="1" applyFont="1" applyFill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/>
      <protection hidden="1"/>
    </xf>
    <xf numFmtId="164" fontId="8" fillId="2" borderId="0" xfId="0" applyNumberFormat="1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/>
      <protection hidden="1"/>
    </xf>
    <xf numFmtId="0" fontId="21" fillId="2" borderId="0" xfId="0" applyFont="1" applyFill="1" applyAlignment="1" applyProtection="1">
      <alignment horizontal="right"/>
      <protection hidden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29" fillId="2" borderId="0" xfId="0" applyFont="1" applyFill="1" applyBorder="1" applyAlignment="1" applyProtection="1">
      <alignment/>
      <protection hidden="1"/>
    </xf>
    <xf numFmtId="0" fontId="25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164" fontId="41" fillId="2" borderId="0" xfId="0" applyNumberFormat="1" applyFont="1" applyFill="1" applyAlignment="1" applyProtection="1">
      <alignment horizontal="right" vertical="center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187" fontId="9" fillId="2" borderId="0" xfId="0" applyNumberFormat="1" applyFont="1" applyFill="1" applyAlignment="1" applyProtection="1">
      <alignment horizontal="left" vertical="center"/>
      <protection locked="0"/>
    </xf>
    <xf numFmtId="0" fontId="56" fillId="2" borderId="14" xfId="0" applyFont="1" applyFill="1" applyBorder="1" applyAlignment="1" applyProtection="1">
      <alignment horizontal="right" vertical="top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5" fontId="21" fillId="2" borderId="0" xfId="0" applyNumberFormat="1" applyFont="1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21" fillId="2" borderId="23" xfId="0" applyFont="1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186" fontId="9" fillId="2" borderId="0" xfId="0" applyNumberFormat="1" applyFont="1" applyFill="1" applyAlignment="1" applyProtection="1">
      <alignment horizontal="left" vertical="center" wrapText="1"/>
      <protection locked="0"/>
    </xf>
    <xf numFmtId="3" fontId="62" fillId="2" borderId="25" xfId="0" applyNumberFormat="1" applyFont="1" applyFill="1" applyBorder="1" applyAlignment="1" applyProtection="1">
      <alignment horizontal="left" vertical="center" wrapText="1"/>
      <protection hidden="1"/>
    </xf>
    <xf numFmtId="170" fontId="11" fillId="2" borderId="0" xfId="0" applyNumberFormat="1" applyFont="1" applyFill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56" fillId="2" borderId="0" xfId="0" applyFont="1" applyFill="1" applyAlignment="1" applyProtection="1">
      <alignment vertical="top" wrapText="1"/>
      <protection hidden="1"/>
    </xf>
    <xf numFmtId="0" fontId="0" fillId="2" borderId="26" xfId="0" applyFill="1" applyBorder="1" applyAlignment="1" applyProtection="1">
      <alignment/>
      <protection hidden="1"/>
    </xf>
    <xf numFmtId="0" fontId="54" fillId="2" borderId="0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 horizontal="center" vertical="top"/>
      <protection hidden="1"/>
    </xf>
    <xf numFmtId="0" fontId="0" fillId="2" borderId="27" xfId="0" applyFill="1" applyBorder="1" applyAlignment="1" applyProtection="1">
      <alignment/>
      <protection hidden="1"/>
    </xf>
    <xf numFmtId="0" fontId="0" fillId="2" borderId="28" xfId="0" applyFill="1" applyBorder="1" applyAlignment="1" applyProtection="1">
      <alignment/>
      <protection hidden="1"/>
    </xf>
    <xf numFmtId="0" fontId="0" fillId="2" borderId="29" xfId="0" applyFill="1" applyBorder="1" applyAlignment="1" applyProtection="1">
      <alignment/>
      <protection hidden="1"/>
    </xf>
    <xf numFmtId="0" fontId="15" fillId="2" borderId="30" xfId="0" applyFont="1" applyFill="1" applyBorder="1" applyAlignment="1" applyProtection="1">
      <alignment horizontal="center" vertical="center" wrapText="1"/>
      <protection hidden="1"/>
    </xf>
    <xf numFmtId="0" fontId="30" fillId="2" borderId="31" xfId="0" applyFont="1" applyFill="1" applyBorder="1" applyAlignment="1" applyProtection="1">
      <alignment wrapText="1"/>
      <protection hidden="1"/>
    </xf>
    <xf numFmtId="0" fontId="15" fillId="2" borderId="32" xfId="0" applyFont="1" applyFill="1" applyBorder="1" applyAlignment="1" applyProtection="1">
      <alignment horizontal="center" vertical="center" wrapText="1"/>
      <protection hidden="1"/>
    </xf>
    <xf numFmtId="0" fontId="30" fillId="2" borderId="33" xfId="0" applyFont="1" applyFill="1" applyBorder="1" applyAlignment="1" applyProtection="1">
      <alignment wrapText="1"/>
      <protection hidden="1"/>
    </xf>
    <xf numFmtId="0" fontId="0" fillId="2" borderId="34" xfId="0" applyFill="1" applyBorder="1" applyAlignment="1" applyProtection="1">
      <alignment/>
      <protection hidden="1"/>
    </xf>
    <xf numFmtId="0" fontId="35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182" fontId="53" fillId="2" borderId="0" xfId="0" applyNumberFormat="1" applyFont="1" applyFill="1" applyAlignment="1" applyProtection="1">
      <alignment horizontal="center" wrapText="1"/>
      <protection hidden="1"/>
    </xf>
    <xf numFmtId="0" fontId="65" fillId="2" borderId="0" xfId="0" applyFont="1" applyFill="1" applyBorder="1" applyAlignment="1" applyProtection="1">
      <alignment horizontal="center" vertical="top"/>
      <protection hidden="1"/>
    </xf>
    <xf numFmtId="0" fontId="65" fillId="2" borderId="0" xfId="0" applyFont="1" applyFill="1" applyAlignment="1">
      <alignment vertical="top"/>
    </xf>
    <xf numFmtId="3" fontId="46" fillId="2" borderId="35" xfId="0" applyNumberFormat="1" applyFont="1" applyFill="1" applyBorder="1" applyAlignment="1" applyProtection="1">
      <alignment horizontal="center" vertical="top" wrapText="1"/>
      <protection locked="0"/>
    </xf>
    <xf numFmtId="0" fontId="63" fillId="2" borderId="23" xfId="0" applyFont="1" applyFill="1" applyBorder="1" applyAlignment="1">
      <alignment horizontal="center" vertical="center" wrapText="1"/>
    </xf>
    <xf numFmtId="37" fontId="61" fillId="2" borderId="0" xfId="0" applyNumberFormat="1" applyFont="1" applyFill="1" applyAlignment="1" applyProtection="1">
      <alignment horizontal="center" wrapText="1"/>
      <protection hidden="1"/>
    </xf>
    <xf numFmtId="0" fontId="28" fillId="3" borderId="36" xfId="0" applyFont="1" applyFill="1" applyBorder="1" applyAlignment="1" applyProtection="1">
      <alignment horizontal="center" vertical="center" wrapText="1"/>
      <protection hidden="1"/>
    </xf>
    <xf numFmtId="0" fontId="36" fillId="3" borderId="37" xfId="0" applyFont="1" applyFill="1" applyBorder="1" applyAlignment="1" applyProtection="1">
      <alignment horizontal="center" vertical="center" wrapText="1"/>
      <protection hidden="1"/>
    </xf>
    <xf numFmtId="0" fontId="36" fillId="3" borderId="38" xfId="0" applyFont="1" applyFill="1" applyBorder="1" applyAlignment="1" applyProtection="1">
      <alignment horizontal="center" vertical="center" wrapText="1"/>
      <protection hidden="1"/>
    </xf>
    <xf numFmtId="0" fontId="36" fillId="3" borderId="39" xfId="0" applyFont="1" applyFill="1" applyBorder="1" applyAlignment="1" applyProtection="1">
      <alignment horizontal="center" vertical="center" wrapText="1"/>
      <protection hidden="1"/>
    </xf>
    <xf numFmtId="0" fontId="36" fillId="3" borderId="40" xfId="0" applyFont="1" applyFill="1" applyBorder="1" applyAlignment="1" applyProtection="1">
      <alignment horizontal="center" vertical="center" wrapText="1"/>
      <protection hidden="1"/>
    </xf>
    <xf numFmtId="3" fontId="49" fillId="2" borderId="0" xfId="0" applyNumberFormat="1" applyFont="1" applyFill="1" applyAlignment="1" applyProtection="1">
      <alignment horizontal="left" vertical="center"/>
      <protection hidden="1"/>
    </xf>
    <xf numFmtId="0" fontId="49" fillId="2" borderId="0" xfId="0" applyFont="1" applyFill="1" applyAlignment="1" applyProtection="1">
      <alignment horizontal="left" vertical="center"/>
      <protection hidden="1"/>
    </xf>
    <xf numFmtId="0" fontId="49" fillId="2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/>
    </xf>
    <xf numFmtId="0" fontId="2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3" fillId="2" borderId="35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37" fillId="4" borderId="5" xfId="0" applyFont="1" applyFill="1" applyBorder="1" applyAlignment="1" applyProtection="1">
      <alignment horizontal="center" vertical="center" wrapText="1"/>
      <protection hidden="1"/>
    </xf>
    <xf numFmtId="0" fontId="38" fillId="4" borderId="42" xfId="0" applyFont="1" applyFill="1" applyBorder="1" applyAlignment="1" applyProtection="1">
      <alignment horizontal="center" vertical="center" wrapText="1"/>
      <protection hidden="1"/>
    </xf>
    <xf numFmtId="0" fontId="38" fillId="4" borderId="6" xfId="0" applyFont="1" applyFill="1" applyBorder="1" applyAlignment="1" applyProtection="1">
      <alignment horizontal="center" vertical="center" wrapText="1"/>
      <protection hidden="1"/>
    </xf>
    <xf numFmtId="0" fontId="38" fillId="4" borderId="43" xfId="0" applyFont="1" applyFill="1" applyBorder="1" applyAlignment="1" applyProtection="1">
      <alignment horizontal="center" vertical="center" wrapText="1"/>
      <protection hidden="1"/>
    </xf>
    <xf numFmtId="0" fontId="38" fillId="4" borderId="7" xfId="0" applyFont="1" applyFill="1" applyBorder="1" applyAlignment="1" applyProtection="1">
      <alignment horizontal="center" vertical="center" wrapText="1"/>
      <protection hidden="1"/>
    </xf>
    <xf numFmtId="0" fontId="38" fillId="4" borderId="44" xfId="0" applyFont="1" applyFill="1" applyBorder="1" applyAlignment="1" applyProtection="1">
      <alignment horizontal="center" vertical="center" wrapText="1"/>
      <protection hidden="1"/>
    </xf>
    <xf numFmtId="0" fontId="34" fillId="5" borderId="45" xfId="0" applyFont="1" applyFill="1" applyBorder="1" applyAlignment="1" applyProtection="1">
      <alignment horizontal="center" vertical="center" wrapText="1"/>
      <protection hidden="1"/>
    </xf>
    <xf numFmtId="0" fontId="35" fillId="5" borderId="46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35" fillId="5" borderId="47" xfId="0" applyFont="1" applyFill="1" applyBorder="1" applyAlignment="1" applyProtection="1">
      <alignment horizontal="center" vertical="center" wrapText="1"/>
      <protection hidden="1"/>
    </xf>
    <xf numFmtId="0" fontId="35" fillId="5" borderId="48" xfId="0" applyFont="1" applyFill="1" applyBorder="1" applyAlignment="1" applyProtection="1">
      <alignment horizontal="center" vertical="center" wrapText="1"/>
      <protection hidden="1"/>
    </xf>
    <xf numFmtId="0" fontId="35" fillId="5" borderId="49" xfId="0" applyFont="1" applyFill="1" applyBorder="1" applyAlignment="1" applyProtection="1">
      <alignment horizontal="center" vertical="center" wrapText="1"/>
      <protection hidden="1"/>
    </xf>
    <xf numFmtId="0" fontId="57" fillId="2" borderId="23" xfId="0" applyFont="1" applyFill="1" applyBorder="1" applyAlignment="1" applyProtection="1">
      <alignment vertical="top" wrapText="1"/>
      <protection hidden="1"/>
    </xf>
    <xf numFmtId="0" fontId="59" fillId="2" borderId="23" xfId="0" applyFont="1" applyFill="1" applyBorder="1" applyAlignment="1" applyProtection="1">
      <alignment vertical="top" wrapText="1"/>
      <protection hidden="1"/>
    </xf>
    <xf numFmtId="0" fontId="53" fillId="2" borderId="50" xfId="0" applyFont="1" applyFill="1" applyBorder="1" applyAlignment="1" applyProtection="1">
      <alignment horizontal="center" vertical="center"/>
      <protection hidden="1"/>
    </xf>
    <xf numFmtId="0" fontId="60" fillId="0" borderId="8" xfId="0" applyFont="1" applyBorder="1" applyAlignment="1" applyProtection="1">
      <alignment horizontal="center" vertical="center"/>
      <protection hidden="1"/>
    </xf>
    <xf numFmtId="182" fontId="67" fillId="2" borderId="6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center" vertical="top"/>
    </xf>
    <xf numFmtId="0" fontId="60" fillId="2" borderId="0" xfId="0" applyFont="1" applyFill="1" applyAlignment="1" applyProtection="1">
      <alignment/>
      <protection hidden="1"/>
    </xf>
    <xf numFmtId="182" fontId="53" fillId="2" borderId="0" xfId="0" applyNumberFormat="1" applyFont="1" applyFill="1" applyAlignment="1" applyProtection="1">
      <alignment horizontal="center" wrapText="1"/>
      <protection hidden="1"/>
    </xf>
    <xf numFmtId="182" fontId="65" fillId="2" borderId="0" xfId="0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65" fillId="2" borderId="0" xfId="0" applyFont="1" applyFill="1" applyAlignment="1">
      <alignment horizontal="center" vertical="top"/>
    </xf>
    <xf numFmtId="0" fontId="0" fillId="2" borderId="51" xfId="0" applyFill="1" applyBorder="1" applyAlignment="1" applyProtection="1">
      <alignment/>
      <protection hidden="1"/>
    </xf>
    <xf numFmtId="182" fontId="67" fillId="2" borderId="6" xfId="0" applyNumberFormat="1" applyFont="1" applyFill="1" applyBorder="1" applyAlignment="1" applyProtection="1">
      <alignment horizontal="center" wrapText="1"/>
      <protection hidden="1"/>
    </xf>
    <xf numFmtId="182" fontId="67" fillId="2" borderId="0" xfId="0" applyNumberFormat="1" applyFont="1" applyFill="1" applyBorder="1" applyAlignment="1" applyProtection="1">
      <alignment horizontal="center" wrapText="1"/>
      <protection hidden="1"/>
    </xf>
    <xf numFmtId="0" fontId="68" fillId="0" borderId="0" xfId="0" applyFont="1" applyBorder="1" applyAlignment="1" applyProtection="1">
      <alignment horizontal="center"/>
      <protection hidden="1"/>
    </xf>
    <xf numFmtId="182" fontId="53" fillId="2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67" fillId="2" borderId="0" xfId="0" applyFont="1" applyFill="1" applyAlignment="1" applyProtection="1">
      <alignment horizontal="center"/>
      <protection hidden="1"/>
    </xf>
    <xf numFmtId="0" fontId="67" fillId="0" borderId="0" xfId="0" applyFont="1" applyAlignment="1">
      <alignment horizontal="center"/>
    </xf>
    <xf numFmtId="191" fontId="49" fillId="2" borderId="0" xfId="0" applyNumberFormat="1" applyFont="1" applyFill="1" applyAlignment="1" applyProtection="1">
      <alignment horizontal="center" vertical="top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0" fillId="2" borderId="0" xfId="0" applyFont="1" applyFill="1" applyAlignment="1" applyProtection="1">
      <alignment horizontal="center"/>
      <protection hidden="1"/>
    </xf>
    <xf numFmtId="0" fontId="60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70" fillId="2" borderId="0" xfId="0" applyNumberFormat="1" applyFont="1" applyFill="1" applyAlignment="1" applyProtection="1">
      <alignment/>
      <protection hidden="1"/>
    </xf>
    <xf numFmtId="0" fontId="50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37" fontId="44" fillId="2" borderId="0" xfId="0" applyNumberFormat="1" applyFont="1" applyFill="1" applyBorder="1" applyAlignment="1" applyProtection="1">
      <alignment horizontal="center" vertical="center"/>
      <protection hidden="1"/>
    </xf>
    <xf numFmtId="37" fontId="45" fillId="0" borderId="0" xfId="0" applyNumberFormat="1" applyFont="1" applyAlignment="1" applyProtection="1">
      <alignment/>
      <protection hidden="1"/>
    </xf>
    <xf numFmtId="0" fontId="26" fillId="6" borderId="52" xfId="0" applyFont="1" applyFill="1" applyBorder="1" applyAlignment="1" applyProtection="1">
      <alignment horizontal="center" vertical="center"/>
      <protection hidden="1"/>
    </xf>
    <xf numFmtId="0" fontId="26" fillId="6" borderId="14" xfId="0" applyFont="1" applyFill="1" applyBorder="1" applyAlignment="1" applyProtection="1">
      <alignment horizontal="center" vertical="center"/>
      <protection hidden="1"/>
    </xf>
    <xf numFmtId="0" fontId="26" fillId="6" borderId="53" xfId="0" applyFont="1" applyFill="1" applyBorder="1" applyAlignment="1" applyProtection="1">
      <alignment horizontal="center" vertical="center"/>
      <protection hidden="1"/>
    </xf>
    <xf numFmtId="0" fontId="26" fillId="6" borderId="26" xfId="0" applyFont="1" applyFill="1" applyBorder="1" applyAlignment="1" applyProtection="1">
      <alignment horizontal="center" vertical="center"/>
      <protection hidden="1"/>
    </xf>
    <xf numFmtId="0" fontId="27" fillId="0" borderId="54" xfId="0" applyFont="1" applyBorder="1" applyAlignment="1" applyProtection="1">
      <alignment horizontal="center"/>
      <protection hidden="1"/>
    </xf>
    <xf numFmtId="0" fontId="27" fillId="0" borderId="55" xfId="0" applyFont="1" applyBorder="1" applyAlignment="1" applyProtection="1">
      <alignment horizontal="center"/>
      <protection hidden="1"/>
    </xf>
    <xf numFmtId="0" fontId="41" fillId="2" borderId="0" xfId="0" applyFont="1" applyFill="1" applyAlignment="1" applyProtection="1">
      <alignment horizontal="center" wrapText="1"/>
      <protection hidden="1"/>
    </xf>
    <xf numFmtId="0" fontId="47" fillId="0" borderId="0" xfId="0" applyFont="1" applyAlignment="1" applyProtection="1">
      <alignment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37" fontId="23" fillId="2" borderId="0" xfId="0" applyNumberFormat="1" applyFont="1" applyFill="1" applyBorder="1" applyAlignment="1" applyProtection="1">
      <alignment horizontal="center" vertical="center"/>
      <protection hidden="1"/>
    </xf>
    <xf numFmtId="0" fontId="66" fillId="2" borderId="0" xfId="0" applyFont="1" applyFill="1" applyAlignment="1" applyProtection="1">
      <alignment horizontal="center" vertical="top" wrapText="1"/>
      <protection hidden="1"/>
    </xf>
    <xf numFmtId="0" fontId="52" fillId="2" borderId="0" xfId="0" applyFont="1" applyFill="1" applyAlignment="1">
      <alignment horizontal="right" vertical="top"/>
    </xf>
    <xf numFmtId="0" fontId="9" fillId="2" borderId="0" xfId="0" applyFont="1" applyFill="1" applyAlignment="1" applyProtection="1">
      <alignment horizontal="left"/>
      <protection hidden="1"/>
    </xf>
    <xf numFmtId="0" fontId="32" fillId="2" borderId="56" xfId="0" applyFont="1" applyFill="1" applyBorder="1" applyAlignment="1" applyProtection="1">
      <alignment horizontal="center" vertical="top" wrapText="1"/>
      <protection hidden="1"/>
    </xf>
    <xf numFmtId="0" fontId="33" fillId="0" borderId="57" xfId="0" applyFont="1" applyBorder="1" applyAlignment="1" applyProtection="1">
      <alignment wrapText="1"/>
      <protection hidden="1"/>
    </xf>
    <xf numFmtId="0" fontId="33" fillId="0" borderId="35" xfId="0" applyFont="1" applyBorder="1" applyAlignment="1" applyProtection="1">
      <alignment wrapText="1"/>
      <protection hidden="1"/>
    </xf>
    <xf numFmtId="0" fontId="33" fillId="0" borderId="23" xfId="0" applyFont="1" applyBorder="1" applyAlignment="1" applyProtection="1">
      <alignment wrapText="1"/>
      <protection hidden="1"/>
    </xf>
    <xf numFmtId="0" fontId="54" fillId="2" borderId="0" xfId="0" applyFont="1" applyFill="1" applyAlignment="1" applyProtection="1">
      <alignment horizont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64" fillId="2" borderId="7" xfId="0" applyFont="1" applyFill="1" applyBorder="1" applyAlignment="1" applyProtection="1">
      <alignment horizontal="center" vertical="center" wrapText="1"/>
      <protection hidden="1"/>
    </xf>
    <xf numFmtId="0" fontId="69" fillId="0" borderId="58" xfId="0" applyFont="1" applyBorder="1" applyAlignment="1" applyProtection="1">
      <alignment wrapText="1"/>
      <protection hidden="1"/>
    </xf>
    <xf numFmtId="0" fontId="64" fillId="2" borderId="0" xfId="0" applyFont="1" applyFill="1" applyBorder="1" applyAlignment="1" applyProtection="1">
      <alignment horizontal="center"/>
      <protection hidden="1"/>
    </xf>
    <xf numFmtId="0" fontId="69" fillId="0" borderId="0" xfId="0" applyFont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center" vertical="center" wrapText="1"/>
      <protection hidden="1"/>
    </xf>
    <xf numFmtId="38" fontId="17" fillId="2" borderId="0" xfId="0" applyNumberFormat="1" applyFont="1" applyFill="1" applyAlignment="1" applyProtection="1">
      <alignment horizontal="center" wrapText="1"/>
      <protection locked="0"/>
    </xf>
    <xf numFmtId="0" fontId="64" fillId="2" borderId="0" xfId="0" applyFont="1" applyFill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0" fontId="57" fillId="2" borderId="15" xfId="0" applyFont="1" applyFill="1" applyBorder="1" applyAlignment="1" applyProtection="1">
      <alignment horizontal="right"/>
      <protection hidden="1"/>
    </xf>
    <xf numFmtId="0" fontId="58" fillId="0" borderId="59" xfId="0" applyFont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center" wrapText="1"/>
      <protection hidden="1"/>
    </xf>
    <xf numFmtId="0" fontId="0" fillId="0" borderId="60" xfId="0" applyBorder="1" applyAlignment="1">
      <alignment/>
    </xf>
    <xf numFmtId="0" fontId="10" fillId="2" borderId="61" xfId="0" applyFont="1" applyFill="1" applyBorder="1" applyAlignment="1" applyProtection="1">
      <alignment horizontal="center" vertical="top" wrapText="1"/>
      <protection hidden="1"/>
    </xf>
    <xf numFmtId="0" fontId="0" fillId="0" borderId="61" xfId="0" applyBorder="1" applyAlignment="1">
      <alignment horizontal="center"/>
    </xf>
    <xf numFmtId="0" fontId="21" fillId="2" borderId="0" xfId="0" applyFont="1" applyFill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37" fontId="23" fillId="2" borderId="0" xfId="0" applyNumberFormat="1" applyFont="1" applyFill="1" applyAlignment="1" applyProtection="1">
      <alignment horizontal="center" vertical="center" wrapText="1"/>
      <protection hidden="1"/>
    </xf>
    <xf numFmtId="3" fontId="15" fillId="2" borderId="0" xfId="0" applyNumberFormat="1" applyFont="1" applyFill="1" applyAlignment="1" applyProtection="1">
      <alignment horizontal="center" vertical="center" wrapText="1"/>
      <protection locked="0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3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43" xfId="0" applyNumberFormat="1" applyFont="1" applyBorder="1" applyAlignment="1" applyProtection="1">
      <alignment horizontal="center" vertical="center" wrapText="1"/>
      <protection locked="0"/>
    </xf>
    <xf numFmtId="0" fontId="40" fillId="8" borderId="0" xfId="0" applyFont="1" applyFill="1" applyBorder="1" applyAlignment="1" applyProtection="1">
      <alignment horizontal="center" vertical="center"/>
      <protection hidden="1"/>
    </xf>
    <xf numFmtId="0" fontId="39" fillId="9" borderId="0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right"/>
      <protection hidden="1"/>
    </xf>
    <xf numFmtId="168" fontId="42" fillId="2" borderId="0" xfId="0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left" wrapText="1"/>
      <protection hidden="1"/>
    </xf>
    <xf numFmtId="0" fontId="34" fillId="2" borderId="62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3" fontId="49" fillId="2" borderId="0" xfId="0" applyNumberFormat="1" applyFont="1" applyFill="1" applyAlignment="1" applyProtection="1">
      <alignment horizontal="left"/>
      <protection hidden="1"/>
    </xf>
    <xf numFmtId="0" fontId="49" fillId="2" borderId="0" xfId="0" applyFont="1" applyFill="1" applyAlignment="1" applyProtection="1">
      <alignment horizontal="left"/>
      <protection hidden="1"/>
    </xf>
    <xf numFmtId="0" fontId="49" fillId="2" borderId="0" xfId="0" applyFont="1" applyFill="1" applyAlignment="1" applyProtection="1">
      <alignment horizontal="right"/>
      <protection hidden="1"/>
    </xf>
    <xf numFmtId="0" fontId="28" fillId="4" borderId="5" xfId="0" applyFont="1" applyFill="1" applyBorder="1" applyAlignment="1" applyProtection="1">
      <alignment horizontal="center" vertical="center" wrapText="1"/>
      <protection hidden="1"/>
    </xf>
    <xf numFmtId="0" fontId="36" fillId="4" borderId="42" xfId="0" applyFont="1" applyFill="1" applyBorder="1" applyAlignment="1" applyProtection="1">
      <alignment horizontal="center" vertical="center" wrapText="1"/>
      <protection hidden="1"/>
    </xf>
    <xf numFmtId="0" fontId="36" fillId="4" borderId="6" xfId="0" applyFont="1" applyFill="1" applyBorder="1" applyAlignment="1" applyProtection="1">
      <alignment horizontal="center" vertical="center" wrapText="1"/>
      <protection hidden="1"/>
    </xf>
    <xf numFmtId="0" fontId="36" fillId="4" borderId="43" xfId="0" applyFont="1" applyFill="1" applyBorder="1" applyAlignment="1" applyProtection="1">
      <alignment horizontal="center" vertical="center" wrapText="1"/>
      <protection hidden="1"/>
    </xf>
    <xf numFmtId="0" fontId="36" fillId="4" borderId="7" xfId="0" applyFont="1" applyFill="1" applyBorder="1" applyAlignment="1" applyProtection="1">
      <alignment horizontal="center" vertical="center" wrapText="1"/>
      <protection hidden="1"/>
    </xf>
    <xf numFmtId="0" fontId="36" fillId="4" borderId="44" xfId="0" applyFont="1" applyFill="1" applyBorder="1" applyAlignment="1" applyProtection="1">
      <alignment horizontal="center" vertical="center" wrapText="1"/>
      <protection hidden="1"/>
    </xf>
    <xf numFmtId="38" fontId="13" fillId="2" borderId="0" xfId="0" applyNumberFormat="1" applyFont="1" applyFill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5" fontId="31" fillId="10" borderId="25" xfId="0" applyNumberFormat="1" applyFont="1" applyFill="1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52" fillId="2" borderId="0" xfId="0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1" fillId="2" borderId="57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 horizontal="center" vertical="top" wrapText="1"/>
      <protection hidden="1"/>
    </xf>
    <xf numFmtId="0" fontId="60" fillId="2" borderId="0" xfId="0" applyFont="1" applyFill="1" applyAlignment="1" applyProtection="1">
      <alignment horizontal="left"/>
      <protection hidden="1"/>
    </xf>
    <xf numFmtId="170" fontId="12" fillId="2" borderId="0" xfId="0" applyNumberFormat="1" applyFont="1" applyFill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37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48" fillId="2" borderId="35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20" fillId="10" borderId="64" xfId="0" applyFont="1" applyFill="1" applyBorder="1" applyAlignment="1" applyProtection="1">
      <alignment horizontal="center" vertical="center" wrapText="1"/>
      <protection hidden="1"/>
    </xf>
    <xf numFmtId="0" fontId="20" fillId="10" borderId="65" xfId="0" applyFont="1" applyFill="1" applyBorder="1" applyAlignment="1" applyProtection="1">
      <alignment horizontal="center" vertical="center" wrapText="1"/>
      <protection hidden="1"/>
    </xf>
    <xf numFmtId="0" fontId="20" fillId="10" borderId="8" xfId="0" applyFont="1" applyFill="1" applyBorder="1" applyAlignment="1" applyProtection="1">
      <alignment horizontal="center" vertical="center" wrapText="1"/>
      <protection hidden="1"/>
    </xf>
    <xf numFmtId="0" fontId="20" fillId="10" borderId="66" xfId="0" applyFont="1" applyFill="1" applyBorder="1" applyAlignment="1" applyProtection="1">
      <alignment horizontal="center" vertical="center" wrapText="1"/>
      <protection hidden="1"/>
    </xf>
    <xf numFmtId="0" fontId="0" fillId="2" borderId="67" xfId="0" applyFill="1" applyBorder="1" applyAlignment="1" applyProtection="1">
      <alignment/>
      <protection hidden="1"/>
    </xf>
    <xf numFmtId="0" fontId="0" fillId="0" borderId="67" xfId="0" applyBorder="1" applyAlignment="1" applyProtection="1">
      <alignment/>
      <protection hidden="1"/>
    </xf>
    <xf numFmtId="0" fontId="51" fillId="11" borderId="0" xfId="0" applyFont="1" applyFill="1" applyBorder="1" applyAlignment="1" applyProtection="1">
      <alignment horizontal="center" vertical="center" wrapText="1"/>
      <protection hidden="1"/>
    </xf>
    <xf numFmtId="0" fontId="48" fillId="2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Fractional Reserve Lending</a:t>
            </a:r>
          </a:p>
        </c:rich>
      </c:tx>
      <c:layout>
        <c:manualLayout>
          <c:xMode val="factor"/>
          <c:yMode val="factor"/>
          <c:x val="0.004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9"/>
          <c:w val="0.95325"/>
          <c:h val="0.90475"/>
        </c:manualLayout>
      </c:layout>
      <c:scatterChart>
        <c:scatterStyle val="smooth"/>
        <c:varyColors val="0"/>
        <c:ser>
          <c:idx val="0"/>
          <c:order val="0"/>
          <c:tx>
            <c:v>Fractional Reserve Banking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'Fractional Lending'!$A$7:$A$46</c:f>
              <c:numCache/>
            </c:numRef>
          </c:xVal>
          <c:yVal>
            <c:numRef>
              <c:f>'Fractional Lending'!$E$7:$E$46</c:f>
              <c:numCache/>
            </c:numRef>
          </c:yVal>
          <c:smooth val="1"/>
        </c:ser>
        <c:axId val="45689175"/>
        <c:axId val="8549392"/>
      </c:scatterChart>
      <c:valAx>
        <c:axId val="456891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8549392"/>
        <c:crosses val="autoZero"/>
        <c:crossBetween val="midCat"/>
        <c:dispUnits/>
        <c:minorUnit val="5"/>
      </c:valAx>
      <c:valAx>
        <c:axId val="8549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47625</xdr:rowOff>
    </xdr:from>
    <xdr:to>
      <xdr:col>13</xdr:col>
      <xdr:colOff>66675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305425" y="1828800"/>
        <a:ext cx="4152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11</xdr:row>
      <xdr:rowOff>161925</xdr:rowOff>
    </xdr:from>
    <xdr:to>
      <xdr:col>5</xdr:col>
      <xdr:colOff>600075</xdr:colOff>
      <xdr:row>11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952875" y="2600325"/>
          <a:ext cx="0" cy="85725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rot="16200000">
          <a:off x="4943475" y="2924175"/>
          <a:ext cx="1047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219075</xdr:rowOff>
    </xdr:from>
    <xdr:to>
      <xdr:col>6</xdr:col>
      <xdr:colOff>0</xdr:colOff>
      <xdr:row>17</xdr:row>
      <xdr:rowOff>238125</xdr:rowOff>
    </xdr:to>
    <xdr:sp>
      <xdr:nvSpPr>
        <xdr:cNvPr id="3" name="Line 3"/>
        <xdr:cNvSpPr>
          <a:spLocks/>
        </xdr:cNvSpPr>
      </xdr:nvSpPr>
      <xdr:spPr>
        <a:xfrm>
          <a:off x="3962400" y="4057650"/>
          <a:ext cx="0" cy="19050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152400</xdr:rowOff>
    </xdr:from>
    <xdr:to>
      <xdr:col>6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3962400" y="5476875"/>
          <a:ext cx="0" cy="85725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14</xdr:row>
      <xdr:rowOff>0</xdr:rowOff>
    </xdr:from>
    <xdr:to>
      <xdr:col>4</xdr:col>
      <xdr:colOff>647700</xdr:colOff>
      <xdr:row>14</xdr:row>
      <xdr:rowOff>19050</xdr:rowOff>
    </xdr:to>
    <xdr:sp>
      <xdr:nvSpPr>
        <xdr:cNvPr id="5" name="Line 5"/>
        <xdr:cNvSpPr>
          <a:spLocks/>
        </xdr:cNvSpPr>
      </xdr:nvSpPr>
      <xdr:spPr>
        <a:xfrm rot="-27567740">
          <a:off x="3286125" y="3209925"/>
          <a:ext cx="66675" cy="1905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7</xdr:col>
      <xdr:colOff>104775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rot="5400000" flipH="1">
          <a:off x="4695825" y="4343400"/>
          <a:ext cx="95250" cy="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rot="16200000">
          <a:off x="3200400" y="2924175"/>
          <a:ext cx="152400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247650</xdr:rowOff>
    </xdr:from>
    <xdr:to>
      <xdr:col>3</xdr:col>
      <xdr:colOff>0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1924050" y="5295900"/>
          <a:ext cx="0" cy="104775"/>
        </a:xfrm>
        <a:prstGeom prst="line">
          <a:avLst/>
        </a:prstGeom>
        <a:noFill/>
        <a:ln w="19050" cmpd="sng">
          <a:solidFill>
            <a:srgbClr val="99CC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17</xdr:row>
      <xdr:rowOff>190500</xdr:rowOff>
    </xdr:from>
    <xdr:to>
      <xdr:col>4</xdr:col>
      <xdr:colOff>0</xdr:colOff>
      <xdr:row>18</xdr:row>
      <xdr:rowOff>28575</xdr:rowOff>
    </xdr:to>
    <xdr:sp>
      <xdr:nvSpPr>
        <xdr:cNvPr id="9" name="Line 9"/>
        <xdr:cNvSpPr>
          <a:spLocks/>
        </xdr:cNvSpPr>
      </xdr:nvSpPr>
      <xdr:spPr>
        <a:xfrm rot="-15684982" flipH="1">
          <a:off x="2686050" y="4029075"/>
          <a:ext cx="19050" cy="1047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13</xdr:row>
      <xdr:rowOff>0</xdr:rowOff>
    </xdr:from>
    <xdr:to>
      <xdr:col>9</xdr:col>
      <xdr:colOff>257175</xdr:colOff>
      <xdr:row>13</xdr:row>
      <xdr:rowOff>0</xdr:rowOff>
    </xdr:to>
    <xdr:sp>
      <xdr:nvSpPr>
        <xdr:cNvPr id="10" name="Line 15"/>
        <xdr:cNvSpPr>
          <a:spLocks/>
        </xdr:cNvSpPr>
      </xdr:nvSpPr>
      <xdr:spPr>
        <a:xfrm rot="16200000">
          <a:off x="6105525" y="2924175"/>
          <a:ext cx="1047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38100</xdr:colOff>
      <xdr:row>12</xdr:row>
      <xdr:rowOff>0</xdr:rowOff>
    </xdr:to>
    <xdr:sp>
      <xdr:nvSpPr>
        <xdr:cNvPr id="11" name="Line 16"/>
        <xdr:cNvSpPr>
          <a:spLocks/>
        </xdr:cNvSpPr>
      </xdr:nvSpPr>
      <xdr:spPr>
        <a:xfrm rot="23364968">
          <a:off x="4724400" y="250507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" name="Line 18"/>
        <xdr:cNvSpPr>
          <a:spLocks/>
        </xdr:cNvSpPr>
      </xdr:nvSpPr>
      <xdr:spPr>
        <a:xfrm rot="17109964" flipH="1">
          <a:off x="7496175" y="1209675"/>
          <a:ext cx="9525" cy="0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104775</xdr:colOff>
      <xdr:row>13</xdr:row>
      <xdr:rowOff>0</xdr:rowOff>
    </xdr:to>
    <xdr:sp>
      <xdr:nvSpPr>
        <xdr:cNvPr id="13" name="Line 19"/>
        <xdr:cNvSpPr>
          <a:spLocks/>
        </xdr:cNvSpPr>
      </xdr:nvSpPr>
      <xdr:spPr>
        <a:xfrm rot="5400000" flipH="1">
          <a:off x="8772525" y="2924175"/>
          <a:ext cx="104775" cy="0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104775</xdr:colOff>
      <xdr:row>7</xdr:row>
      <xdr:rowOff>0</xdr:rowOff>
    </xdr:to>
    <xdr:sp>
      <xdr:nvSpPr>
        <xdr:cNvPr id="14" name="Line 20"/>
        <xdr:cNvSpPr>
          <a:spLocks/>
        </xdr:cNvSpPr>
      </xdr:nvSpPr>
      <xdr:spPr>
        <a:xfrm rot="5400000" flipH="1">
          <a:off x="8772525" y="1209675"/>
          <a:ext cx="104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19050</xdr:rowOff>
    </xdr:from>
    <xdr:to>
      <xdr:col>12</xdr:col>
      <xdr:colOff>352425</xdr:colOff>
      <xdr:row>19</xdr:row>
      <xdr:rowOff>0</xdr:rowOff>
    </xdr:to>
    <xdr:sp>
      <xdr:nvSpPr>
        <xdr:cNvPr id="15" name="Line 25"/>
        <xdr:cNvSpPr>
          <a:spLocks/>
        </xdr:cNvSpPr>
      </xdr:nvSpPr>
      <xdr:spPr>
        <a:xfrm flipV="1">
          <a:off x="7858125" y="3438525"/>
          <a:ext cx="0" cy="904875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17</xdr:row>
      <xdr:rowOff>257175</xdr:rowOff>
    </xdr:from>
    <xdr:to>
      <xdr:col>13</xdr:col>
      <xdr:colOff>190500</xdr:colOff>
      <xdr:row>18</xdr:row>
      <xdr:rowOff>228600</xdr:rowOff>
    </xdr:to>
    <xdr:sp>
      <xdr:nvSpPr>
        <xdr:cNvPr id="16" name="Line 26"/>
        <xdr:cNvSpPr>
          <a:spLocks/>
        </xdr:cNvSpPr>
      </xdr:nvSpPr>
      <xdr:spPr>
        <a:xfrm>
          <a:off x="8305800" y="4095750"/>
          <a:ext cx="0" cy="238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27</xdr:row>
      <xdr:rowOff>0</xdr:rowOff>
    </xdr:from>
    <xdr:to>
      <xdr:col>13</xdr:col>
      <xdr:colOff>571500</xdr:colOff>
      <xdr:row>27</xdr:row>
      <xdr:rowOff>0</xdr:rowOff>
    </xdr:to>
    <xdr:sp>
      <xdr:nvSpPr>
        <xdr:cNvPr id="17" name="Line 27"/>
        <xdr:cNvSpPr>
          <a:spLocks/>
        </xdr:cNvSpPr>
      </xdr:nvSpPr>
      <xdr:spPr>
        <a:xfrm rot="16200000">
          <a:off x="8477250" y="6172200"/>
          <a:ext cx="209550" cy="0"/>
        </a:xfrm>
        <a:prstGeom prst="line">
          <a:avLst/>
        </a:prstGeom>
        <a:noFill/>
        <a:ln w="19050" cmpd="sng">
          <a:solidFill>
            <a:srgbClr val="33CCCC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20</xdr:row>
      <xdr:rowOff>0</xdr:rowOff>
    </xdr:from>
    <xdr:to>
      <xdr:col>11</xdr:col>
      <xdr:colOff>590550</xdr:colOff>
      <xdr:row>20</xdr:row>
      <xdr:rowOff>0</xdr:rowOff>
    </xdr:to>
    <xdr:sp>
      <xdr:nvSpPr>
        <xdr:cNvPr id="18" name="Line 28"/>
        <xdr:cNvSpPr>
          <a:spLocks/>
        </xdr:cNvSpPr>
      </xdr:nvSpPr>
      <xdr:spPr>
        <a:xfrm>
          <a:off x="7105650" y="4552950"/>
          <a:ext cx="381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20</xdr:row>
      <xdr:rowOff>0</xdr:rowOff>
    </xdr:from>
    <xdr:to>
      <xdr:col>15</xdr:col>
      <xdr:colOff>542925</xdr:colOff>
      <xdr:row>20</xdr:row>
      <xdr:rowOff>0</xdr:rowOff>
    </xdr:to>
    <xdr:sp>
      <xdr:nvSpPr>
        <xdr:cNvPr id="19" name="Line 29"/>
        <xdr:cNvSpPr>
          <a:spLocks/>
        </xdr:cNvSpPr>
      </xdr:nvSpPr>
      <xdr:spPr>
        <a:xfrm>
          <a:off x="9582150" y="4552950"/>
          <a:ext cx="342900" cy="0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0</xdr:rowOff>
    </xdr:from>
    <xdr:to>
      <xdr:col>14</xdr:col>
      <xdr:colOff>390525</xdr:colOff>
      <xdr:row>21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8782050" y="4800600"/>
          <a:ext cx="381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15</xdr:row>
      <xdr:rowOff>19050</xdr:rowOff>
    </xdr:from>
    <xdr:to>
      <xdr:col>13</xdr:col>
      <xdr:colOff>190500</xdr:colOff>
      <xdr:row>17</xdr:row>
      <xdr:rowOff>0</xdr:rowOff>
    </xdr:to>
    <xdr:sp>
      <xdr:nvSpPr>
        <xdr:cNvPr id="21" name="Line 31"/>
        <xdr:cNvSpPr>
          <a:spLocks/>
        </xdr:cNvSpPr>
      </xdr:nvSpPr>
      <xdr:spPr>
        <a:xfrm>
          <a:off x="8305800" y="3438525"/>
          <a:ext cx="0" cy="4000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9</xdr:row>
      <xdr:rowOff>133350</xdr:rowOff>
    </xdr:from>
    <xdr:to>
      <xdr:col>14</xdr:col>
      <xdr:colOff>361950</xdr:colOff>
      <xdr:row>9</xdr:row>
      <xdr:rowOff>133350</xdr:rowOff>
    </xdr:to>
    <xdr:sp>
      <xdr:nvSpPr>
        <xdr:cNvPr id="22" name="Line 32"/>
        <xdr:cNvSpPr>
          <a:spLocks/>
        </xdr:cNvSpPr>
      </xdr:nvSpPr>
      <xdr:spPr>
        <a:xfrm>
          <a:off x="8715375" y="2124075"/>
          <a:ext cx="419100" cy="0"/>
        </a:xfrm>
        <a:prstGeom prst="line">
          <a:avLst/>
        </a:prstGeom>
        <a:noFill/>
        <a:ln w="28575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17</xdr:row>
      <xdr:rowOff>142875</xdr:rowOff>
    </xdr:from>
    <xdr:to>
      <xdr:col>14</xdr:col>
      <xdr:colOff>466725</xdr:colOff>
      <xdr:row>17</xdr:row>
      <xdr:rowOff>142875</xdr:rowOff>
    </xdr:to>
    <xdr:sp>
      <xdr:nvSpPr>
        <xdr:cNvPr id="23" name="Line 33"/>
        <xdr:cNvSpPr>
          <a:spLocks/>
        </xdr:cNvSpPr>
      </xdr:nvSpPr>
      <xdr:spPr>
        <a:xfrm flipH="1">
          <a:off x="8715375" y="3981450"/>
          <a:ext cx="52387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</xdr:row>
      <xdr:rowOff>342900</xdr:rowOff>
    </xdr:from>
    <xdr:to>
      <xdr:col>16</xdr:col>
      <xdr:colOff>0</xdr:colOff>
      <xdr:row>7</xdr:row>
      <xdr:rowOff>342900</xdr:rowOff>
    </xdr:to>
    <xdr:sp>
      <xdr:nvSpPr>
        <xdr:cNvPr id="24" name="Line 34"/>
        <xdr:cNvSpPr>
          <a:spLocks/>
        </xdr:cNvSpPr>
      </xdr:nvSpPr>
      <xdr:spPr>
        <a:xfrm flipH="1">
          <a:off x="9610725" y="1552575"/>
          <a:ext cx="31432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57150</xdr:rowOff>
    </xdr:from>
    <xdr:to>
      <xdr:col>16</xdr:col>
      <xdr:colOff>0</xdr:colOff>
      <xdr:row>11</xdr:row>
      <xdr:rowOff>57150</xdr:rowOff>
    </xdr:to>
    <xdr:sp>
      <xdr:nvSpPr>
        <xdr:cNvPr id="25" name="Line 35"/>
        <xdr:cNvSpPr>
          <a:spLocks/>
        </xdr:cNvSpPr>
      </xdr:nvSpPr>
      <xdr:spPr>
        <a:xfrm flipH="1">
          <a:off x="9610725" y="2495550"/>
          <a:ext cx="31432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323850</xdr:rowOff>
    </xdr:from>
    <xdr:to>
      <xdr:col>8</xdr:col>
      <xdr:colOff>438150</xdr:colOff>
      <xdr:row>8</xdr:row>
      <xdr:rowOff>19050</xdr:rowOff>
    </xdr:to>
    <xdr:sp>
      <xdr:nvSpPr>
        <xdr:cNvPr id="26" name="Line 36"/>
        <xdr:cNvSpPr>
          <a:spLocks/>
        </xdr:cNvSpPr>
      </xdr:nvSpPr>
      <xdr:spPr>
        <a:xfrm flipV="1">
          <a:off x="5048250" y="1533525"/>
          <a:ext cx="438150" cy="2857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7</xdr:row>
      <xdr:rowOff>0</xdr:rowOff>
    </xdr:from>
    <xdr:to>
      <xdr:col>9</xdr:col>
      <xdr:colOff>0</xdr:colOff>
      <xdr:row>7</xdr:row>
      <xdr:rowOff>323850</xdr:rowOff>
    </xdr:to>
    <xdr:sp>
      <xdr:nvSpPr>
        <xdr:cNvPr id="27" name="Line 37"/>
        <xdr:cNvSpPr>
          <a:spLocks/>
        </xdr:cNvSpPr>
      </xdr:nvSpPr>
      <xdr:spPr>
        <a:xfrm flipV="1">
          <a:off x="5476875" y="1209675"/>
          <a:ext cx="476250" cy="323850"/>
        </a:xfrm>
        <a:prstGeom prst="line">
          <a:avLst/>
        </a:prstGeom>
        <a:noFill/>
        <a:ln w="317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17</xdr:row>
      <xdr:rowOff>28575</xdr:rowOff>
    </xdr:from>
    <xdr:to>
      <xdr:col>17</xdr:col>
      <xdr:colOff>533400</xdr:colOff>
      <xdr:row>18</xdr:row>
      <xdr:rowOff>38100</xdr:rowOff>
    </xdr:to>
    <xdr:sp>
      <xdr:nvSpPr>
        <xdr:cNvPr id="28" name="Line 39"/>
        <xdr:cNvSpPr>
          <a:spLocks/>
        </xdr:cNvSpPr>
      </xdr:nvSpPr>
      <xdr:spPr>
        <a:xfrm rot="3110566" flipH="1">
          <a:off x="10896600" y="3867150"/>
          <a:ext cx="171450" cy="2762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17</xdr:row>
      <xdr:rowOff>142875</xdr:rowOff>
    </xdr:from>
    <xdr:to>
      <xdr:col>18</xdr:col>
      <xdr:colOff>9525</xdr:colOff>
      <xdr:row>18</xdr:row>
      <xdr:rowOff>9525</xdr:rowOff>
    </xdr:to>
    <xdr:sp>
      <xdr:nvSpPr>
        <xdr:cNvPr id="29" name="Line 44"/>
        <xdr:cNvSpPr>
          <a:spLocks/>
        </xdr:cNvSpPr>
      </xdr:nvSpPr>
      <xdr:spPr>
        <a:xfrm flipH="1" flipV="1">
          <a:off x="10915650" y="3981450"/>
          <a:ext cx="390525" cy="13335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</xdr:row>
      <xdr:rowOff>133350</xdr:rowOff>
    </xdr:from>
    <xdr:to>
      <xdr:col>7</xdr:col>
      <xdr:colOff>304800</xdr:colOff>
      <xdr:row>7</xdr:row>
      <xdr:rowOff>152400</xdr:rowOff>
    </xdr:to>
    <xdr:sp>
      <xdr:nvSpPr>
        <xdr:cNvPr id="30" name="TextBox 45"/>
        <xdr:cNvSpPr txBox="1">
          <a:spLocks noChangeArrowheads="1"/>
        </xdr:cNvSpPr>
      </xdr:nvSpPr>
      <xdr:spPr>
        <a:xfrm>
          <a:off x="609600" y="695325"/>
          <a:ext cx="4381500" cy="666750"/>
        </a:xfrm>
        <a:prstGeom prst="rect">
          <a:avLst/>
        </a:prstGeom>
        <a:solidFill>
          <a:srgbClr val="000000"/>
        </a:solidFill>
        <a:ln w="317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Initial inputs are at approximately 2010 conditions.  You can examine banking status on cycles from 1 to 200.  You can make Open Market Adjustments to control credit, and Monetize the system to handle deficit spending.  Interest on loans has been excluded for simplicity.  Money in Billions of Dollars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6"/>
  <sheetViews>
    <sheetView workbookViewId="0" topLeftCell="A1">
      <pane ySplit="6" topLeftCell="BM7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2" width="11.57421875" style="0" customWidth="1"/>
    <col min="3" max="3" width="13.140625" style="0" customWidth="1"/>
    <col min="4" max="4" width="11.57421875" style="0" customWidth="1"/>
    <col min="5" max="5" width="13.421875" style="0" customWidth="1"/>
    <col min="10" max="10" width="10.7109375" style="0" customWidth="1"/>
    <col min="11" max="11" width="9.57421875" style="0" customWidth="1"/>
    <col min="12" max="12" width="13.57421875" style="0" customWidth="1"/>
  </cols>
  <sheetData>
    <row r="2" spans="1:12" ht="12.75">
      <c r="A2" s="3"/>
      <c r="B2" s="3"/>
      <c r="C2" s="4" t="s">
        <v>4</v>
      </c>
      <c r="D2" s="5">
        <f>Monetization!D10</f>
        <v>88.9</v>
      </c>
      <c r="E2" s="3"/>
      <c r="J2" s="24"/>
      <c r="K2" s="24"/>
      <c r="L2" s="24"/>
    </row>
    <row r="3" spans="1:12" ht="12.75">
      <c r="A3" s="3"/>
      <c r="B3" s="3"/>
      <c r="C3" s="4" t="s">
        <v>2</v>
      </c>
      <c r="D3" s="5">
        <f>Monetization!D9</f>
        <v>10</v>
      </c>
      <c r="E3" s="3"/>
      <c r="J3" s="25"/>
      <c r="K3" s="26"/>
      <c r="L3" s="26"/>
    </row>
    <row r="4" spans="1:12" ht="12.75">
      <c r="A4" s="3"/>
      <c r="B4" s="4"/>
      <c r="C4" s="6"/>
      <c r="D4" s="3"/>
      <c r="E4" s="3"/>
      <c r="J4" s="25"/>
      <c r="K4" s="26"/>
      <c r="L4" s="26"/>
    </row>
    <row r="5" spans="1:5" ht="12.75">
      <c r="A5" s="3"/>
      <c r="B5" s="7" t="s">
        <v>7</v>
      </c>
      <c r="C5" s="7" t="s">
        <v>5</v>
      </c>
      <c r="D5" s="7" t="s">
        <v>14</v>
      </c>
      <c r="E5" s="8" t="s">
        <v>5</v>
      </c>
    </row>
    <row r="6" spans="1:5" ht="12.75">
      <c r="A6" s="8" t="s">
        <v>3</v>
      </c>
      <c r="B6" s="8" t="s">
        <v>8</v>
      </c>
      <c r="C6" s="8" t="s">
        <v>1</v>
      </c>
      <c r="D6" s="8" t="s">
        <v>0</v>
      </c>
      <c r="E6" s="8" t="s">
        <v>6</v>
      </c>
    </row>
    <row r="7" spans="1:5" ht="12.75">
      <c r="A7" s="9">
        <v>1</v>
      </c>
      <c r="B7" s="10">
        <f>$D$2*$D$3/100-IF(Monetization!$Q$13=$A7,Monetization!$O$10*$D$3/100,0)</f>
        <v>8.89</v>
      </c>
      <c r="C7" s="10">
        <f>B7</f>
        <v>8.89</v>
      </c>
      <c r="D7" s="10">
        <f aca="true" t="shared" si="0" ref="D7:D46">B7/$D$3*100-B7</f>
        <v>80.01</v>
      </c>
      <c r="E7" s="11">
        <f>D7</f>
        <v>80.01</v>
      </c>
    </row>
    <row r="8" spans="1:5" ht="12.75">
      <c r="A8" s="9">
        <f>A7+1</f>
        <v>2</v>
      </c>
      <c r="B8" s="10">
        <f>D7*$D$3/100-IF(Monetization!$Q$13=$A8,Monetization!$O$10*$D$3/100,0)</f>
        <v>8.001</v>
      </c>
      <c r="C8" s="10">
        <f aca="true" t="shared" si="1" ref="C8:C46">C7+B8</f>
        <v>16.891</v>
      </c>
      <c r="D8" s="10">
        <f t="shared" si="0"/>
        <v>72.00899999999999</v>
      </c>
      <c r="E8" s="11">
        <f aca="true" t="shared" si="2" ref="E8:E39">E7+D8</f>
        <v>152.019</v>
      </c>
    </row>
    <row r="9" spans="1:5" ht="12.75">
      <c r="A9" s="9">
        <f aca="true" t="shared" si="3" ref="A9:A46">A8+1</f>
        <v>3</v>
      </c>
      <c r="B9" s="10">
        <f>D8*$D$3/100-IF(Monetization!$Q$13=$A9,Monetization!$O$10*$D$3/100,0)</f>
        <v>7.200899999999999</v>
      </c>
      <c r="C9" s="10">
        <f t="shared" si="1"/>
        <v>24.091899999999995</v>
      </c>
      <c r="D9" s="10">
        <f t="shared" si="0"/>
        <v>64.80809999999998</v>
      </c>
      <c r="E9" s="11">
        <f t="shared" si="2"/>
        <v>216.82709999999997</v>
      </c>
    </row>
    <row r="10" spans="1:5" ht="12.75">
      <c r="A10" s="9">
        <f t="shared" si="3"/>
        <v>4</v>
      </c>
      <c r="B10" s="10">
        <f>D9*$D$3/100-IF(Monetization!$Q$13=$A10,Monetization!$O$10*$D$3/100,0)</f>
        <v>6.480809999999998</v>
      </c>
      <c r="C10" s="10">
        <f t="shared" si="1"/>
        <v>30.572709999999994</v>
      </c>
      <c r="D10" s="10">
        <f t="shared" si="0"/>
        <v>58.327289999999984</v>
      </c>
      <c r="E10" s="11">
        <f t="shared" si="2"/>
        <v>275.15439</v>
      </c>
    </row>
    <row r="11" spans="1:5" ht="12.75">
      <c r="A11" s="9">
        <f t="shared" si="3"/>
        <v>5</v>
      </c>
      <c r="B11" s="10">
        <f>D10*$D$3/100-IF(Monetization!$Q$13=$A11,Monetization!$O$10*$D$3/100,0)</f>
        <v>5.832728999999998</v>
      </c>
      <c r="C11" s="10">
        <f t="shared" si="1"/>
        <v>36.405438999999994</v>
      </c>
      <c r="D11" s="10">
        <f t="shared" si="0"/>
        <v>52.494560999999976</v>
      </c>
      <c r="E11" s="11">
        <f t="shared" si="2"/>
        <v>327.64895099999995</v>
      </c>
    </row>
    <row r="12" spans="1:5" ht="12.75">
      <c r="A12" s="9">
        <f t="shared" si="3"/>
        <v>6</v>
      </c>
      <c r="B12" s="10">
        <f>D11*$D$3/100-IF(Monetization!$Q$13=$A12,Monetization!$O$10*$D$3/100,0)</f>
        <v>5.249456099999998</v>
      </c>
      <c r="C12" s="10">
        <f t="shared" si="1"/>
        <v>41.65489509999999</v>
      </c>
      <c r="D12" s="10">
        <f t="shared" si="0"/>
        <v>47.24510489999999</v>
      </c>
      <c r="E12" s="11">
        <f t="shared" si="2"/>
        <v>374.89405589999996</v>
      </c>
    </row>
    <row r="13" spans="1:5" ht="12.75">
      <c r="A13" s="9">
        <f t="shared" si="3"/>
        <v>7</v>
      </c>
      <c r="B13" s="10">
        <f>D12*$D$3/100-IF(Monetization!$Q$13=$A13,Monetization!$O$10*$D$3/100,0)</f>
        <v>4.724510489999999</v>
      </c>
      <c r="C13" s="10">
        <f t="shared" si="1"/>
        <v>46.37940558999999</v>
      </c>
      <c r="D13" s="10">
        <f t="shared" si="0"/>
        <v>42.52059440999999</v>
      </c>
      <c r="E13" s="11">
        <f t="shared" si="2"/>
        <v>417.41465030999996</v>
      </c>
    </row>
    <row r="14" spans="1:5" ht="12.75">
      <c r="A14" s="9">
        <f t="shared" si="3"/>
        <v>8</v>
      </c>
      <c r="B14" s="10">
        <f>D13*$D$3/100-IF(Monetization!$Q$13=$A14,Monetization!$O$10*$D$3/100,0)</f>
        <v>4.252059440999999</v>
      </c>
      <c r="C14" s="10">
        <f t="shared" si="1"/>
        <v>50.63146503099999</v>
      </c>
      <c r="D14" s="10">
        <f t="shared" si="0"/>
        <v>38.26853496899999</v>
      </c>
      <c r="E14" s="11">
        <f t="shared" si="2"/>
        <v>455.68318527899993</v>
      </c>
    </row>
    <row r="15" spans="1:5" ht="12.75">
      <c r="A15" s="9">
        <f t="shared" si="3"/>
        <v>9</v>
      </c>
      <c r="B15" s="10">
        <f>D14*$D$3/100-IF(Monetization!$Q$13=$A15,Monetization!$O$10*$D$3/100,0)</f>
        <v>3.8268534968999983</v>
      </c>
      <c r="C15" s="10">
        <f t="shared" si="1"/>
        <v>54.45831852789999</v>
      </c>
      <c r="D15" s="10">
        <f t="shared" si="0"/>
        <v>34.44168147209999</v>
      </c>
      <c r="E15" s="11">
        <f t="shared" si="2"/>
        <v>490.12486675109994</v>
      </c>
    </row>
    <row r="16" spans="1:5" ht="12.75">
      <c r="A16" s="9">
        <f t="shared" si="3"/>
        <v>10</v>
      </c>
      <c r="B16" s="10">
        <f>D15*$D$3/100-IF(Monetization!$Q$13=$A16,Monetization!$O$10*$D$3/100,0)</f>
        <v>3.4441681472099988</v>
      </c>
      <c r="C16" s="10">
        <f t="shared" si="1"/>
        <v>57.90248667510999</v>
      </c>
      <c r="D16" s="10">
        <f t="shared" si="0"/>
        <v>30.997513324889987</v>
      </c>
      <c r="E16" s="11">
        <f t="shared" si="2"/>
        <v>521.1223800759899</v>
      </c>
    </row>
    <row r="17" spans="1:5" ht="12.75">
      <c r="A17" s="9">
        <f t="shared" si="3"/>
        <v>11</v>
      </c>
      <c r="B17" s="10">
        <f>D16*$D$3/100-IF(Monetization!$Q$13=$A17,Monetization!$O$10*$D$3/100,0)</f>
        <v>3.0997513324889985</v>
      </c>
      <c r="C17" s="10">
        <f t="shared" si="1"/>
        <v>61.00223800759899</v>
      </c>
      <c r="D17" s="10">
        <f t="shared" si="0"/>
        <v>27.897761992400987</v>
      </c>
      <c r="E17" s="11">
        <f t="shared" si="2"/>
        <v>549.0201420683909</v>
      </c>
    </row>
    <row r="18" spans="1:5" ht="12.75">
      <c r="A18" s="9">
        <f t="shared" si="3"/>
        <v>12</v>
      </c>
      <c r="B18" s="10">
        <f>D17*$D$3/100-IF(Monetization!$Q$13=$A18,Monetization!$O$10*$D$3/100,0)</f>
        <v>2.789776199240099</v>
      </c>
      <c r="C18" s="10">
        <f t="shared" si="1"/>
        <v>63.79201420683909</v>
      </c>
      <c r="D18" s="10">
        <f t="shared" si="0"/>
        <v>25.10798579316089</v>
      </c>
      <c r="E18" s="11">
        <f t="shared" si="2"/>
        <v>574.1281278615518</v>
      </c>
    </row>
    <row r="19" spans="1:5" ht="12.75">
      <c r="A19" s="9">
        <f t="shared" si="3"/>
        <v>13</v>
      </c>
      <c r="B19" s="10">
        <f>D18*$D$3/100-IF(Monetization!$Q$13=$A19,Monetization!$O$10*$D$3/100,0)</f>
        <v>2.510798579316089</v>
      </c>
      <c r="C19" s="10">
        <f t="shared" si="1"/>
        <v>66.30281278615519</v>
      </c>
      <c r="D19" s="10">
        <f t="shared" si="0"/>
        <v>22.597187213844805</v>
      </c>
      <c r="E19" s="11">
        <f t="shared" si="2"/>
        <v>596.7253150753966</v>
      </c>
    </row>
    <row r="20" spans="1:5" ht="12.75">
      <c r="A20" s="9">
        <f t="shared" si="3"/>
        <v>14</v>
      </c>
      <c r="B20" s="10">
        <f>D19*$D$3/100-IF(Monetization!$Q$13=$A20,Monetization!$O$10*$D$3/100,0)</f>
        <v>2.2597187213844805</v>
      </c>
      <c r="C20" s="10">
        <f t="shared" si="1"/>
        <v>68.56253150753966</v>
      </c>
      <c r="D20" s="10">
        <f t="shared" si="0"/>
        <v>20.337468492460324</v>
      </c>
      <c r="E20" s="11">
        <f t="shared" si="2"/>
        <v>617.0627835678569</v>
      </c>
    </row>
    <row r="21" spans="1:5" ht="12.75">
      <c r="A21" s="9">
        <f t="shared" si="3"/>
        <v>15</v>
      </c>
      <c r="B21" s="10">
        <f>D20*$D$3/100-IF(Monetization!$Q$13=$A21,Monetization!$O$10*$D$3/100,0)</f>
        <v>2.0337468492460324</v>
      </c>
      <c r="C21" s="10">
        <f t="shared" si="1"/>
        <v>70.59627835678569</v>
      </c>
      <c r="D21" s="10">
        <f t="shared" si="0"/>
        <v>18.303721643214292</v>
      </c>
      <c r="E21" s="11">
        <f t="shared" si="2"/>
        <v>635.3665052110712</v>
      </c>
    </row>
    <row r="22" spans="1:5" ht="12.75">
      <c r="A22" s="9">
        <f t="shared" si="3"/>
        <v>16</v>
      </c>
      <c r="B22" s="10">
        <f>D21*$D$3/100-IF(Monetization!$Q$13=$A22,Monetization!$O$10*$D$3/100,0)</f>
        <v>1.830372164321429</v>
      </c>
      <c r="C22" s="10">
        <f t="shared" si="1"/>
        <v>72.42665052110712</v>
      </c>
      <c r="D22" s="10">
        <f t="shared" si="0"/>
        <v>16.473349478892864</v>
      </c>
      <c r="E22" s="11">
        <f t="shared" si="2"/>
        <v>651.839854689964</v>
      </c>
    </row>
    <row r="23" spans="1:5" ht="12.75">
      <c r="A23" s="9">
        <f t="shared" si="3"/>
        <v>17</v>
      </c>
      <c r="B23" s="10">
        <f>D22*$D$3/100-IF(Monetization!$Q$13=$A23,Monetization!$O$10*$D$3/100,0)</f>
        <v>1.6473349478892862</v>
      </c>
      <c r="C23" s="10">
        <f t="shared" si="1"/>
        <v>74.07398546899641</v>
      </c>
      <c r="D23" s="10">
        <f t="shared" si="0"/>
        <v>14.826014531003578</v>
      </c>
      <c r="E23" s="11">
        <f t="shared" si="2"/>
        <v>666.6658692209676</v>
      </c>
    </row>
    <row r="24" spans="1:5" ht="12.75">
      <c r="A24" s="9">
        <f t="shared" si="3"/>
        <v>18</v>
      </c>
      <c r="B24" s="10">
        <f>D23*$D$3/100-IF(Monetization!$Q$13=$A24,Monetization!$O$10*$D$3/100,0)</f>
        <v>1.4826014531003577</v>
      </c>
      <c r="C24" s="10">
        <f t="shared" si="1"/>
        <v>75.55658692209677</v>
      </c>
      <c r="D24" s="10">
        <f t="shared" si="0"/>
        <v>13.34341307790322</v>
      </c>
      <c r="E24" s="11">
        <f t="shared" si="2"/>
        <v>680.0092822988707</v>
      </c>
    </row>
    <row r="25" spans="1:5" ht="12.75">
      <c r="A25" s="9">
        <f t="shared" si="3"/>
        <v>19</v>
      </c>
      <c r="B25" s="10">
        <f>D24*$D$3/100-IF(Monetization!$Q$13=$A25,Monetization!$O$10*$D$3/100,0)</f>
        <v>1.334341307790322</v>
      </c>
      <c r="C25" s="10">
        <f t="shared" si="1"/>
        <v>76.8909282298871</v>
      </c>
      <c r="D25" s="10">
        <f t="shared" si="0"/>
        <v>12.009071770112897</v>
      </c>
      <c r="E25" s="11">
        <f t="shared" si="2"/>
        <v>692.0183540689836</v>
      </c>
    </row>
    <row r="26" spans="1:5" ht="12.75">
      <c r="A26" s="9">
        <f t="shared" si="3"/>
        <v>20</v>
      </c>
      <c r="B26" s="10">
        <f>D25*$D$3/100-IF(Monetization!$Q$13=$A26,Monetization!$O$10*$D$3/100,0)</f>
        <v>1.2009071770112896</v>
      </c>
      <c r="C26" s="10">
        <f t="shared" si="1"/>
        <v>78.09183540689838</v>
      </c>
      <c r="D26" s="10">
        <f t="shared" si="0"/>
        <v>10.808164593101607</v>
      </c>
      <c r="E26" s="11">
        <f t="shared" si="2"/>
        <v>702.8265186620853</v>
      </c>
    </row>
    <row r="27" spans="1:5" ht="12.75">
      <c r="A27" s="9">
        <f t="shared" si="3"/>
        <v>21</v>
      </c>
      <c r="B27" s="10">
        <f>D26*$D$3/100-IF(Monetization!$Q$13=$A27,Monetization!$O$10*$D$3/100,0)</f>
        <v>1.0808164593101608</v>
      </c>
      <c r="C27" s="10">
        <f t="shared" si="1"/>
        <v>79.17265186620854</v>
      </c>
      <c r="D27" s="10">
        <f t="shared" si="0"/>
        <v>9.727348133791446</v>
      </c>
      <c r="E27" s="11">
        <f t="shared" si="2"/>
        <v>712.5538667958767</v>
      </c>
    </row>
    <row r="28" spans="1:5" ht="12.75">
      <c r="A28" s="9">
        <f t="shared" si="3"/>
        <v>22</v>
      </c>
      <c r="B28" s="10">
        <f>D27*$D$3/100-IF(Monetization!$Q$13=$A28,Monetization!$O$10*$D$3/100,0)</f>
        <v>0.9727348133791446</v>
      </c>
      <c r="C28" s="10">
        <f t="shared" si="1"/>
        <v>80.14538667958769</v>
      </c>
      <c r="D28" s="10">
        <f t="shared" si="0"/>
        <v>8.7546133204123</v>
      </c>
      <c r="E28" s="11">
        <f t="shared" si="2"/>
        <v>721.308480116289</v>
      </c>
    </row>
    <row r="29" spans="1:5" ht="12.75">
      <c r="A29" s="9">
        <f t="shared" si="3"/>
        <v>23</v>
      </c>
      <c r="B29" s="10">
        <f>D28*$D$3/100-IF(Monetization!$Q$13=$A29,Monetization!$O$10*$D$3/100,0)</f>
        <v>0.8754613320412301</v>
      </c>
      <c r="C29" s="10">
        <f t="shared" si="1"/>
        <v>81.02084801162891</v>
      </c>
      <c r="D29" s="10">
        <f t="shared" si="0"/>
        <v>7.879151988371071</v>
      </c>
      <c r="E29" s="11">
        <f t="shared" si="2"/>
        <v>729.1876321046601</v>
      </c>
    </row>
    <row r="30" spans="1:5" ht="12.75">
      <c r="A30" s="9">
        <f t="shared" si="3"/>
        <v>24</v>
      </c>
      <c r="B30" s="10">
        <f>D29*$D$3/100-IF(Monetization!$Q$13=$A30,Monetization!$O$10*$D$3/100,0)</f>
        <v>0.787915198837107</v>
      </c>
      <c r="C30" s="10">
        <f t="shared" si="1"/>
        <v>81.80876321046603</v>
      </c>
      <c r="D30" s="10">
        <f t="shared" si="0"/>
        <v>7.091236789533964</v>
      </c>
      <c r="E30" s="11">
        <f t="shared" si="2"/>
        <v>736.278868894194</v>
      </c>
    </row>
    <row r="31" spans="1:5" ht="12.75">
      <c r="A31" s="9">
        <f t="shared" si="3"/>
        <v>25</v>
      </c>
      <c r="B31" s="10">
        <f>D30*$D$3/100-IF(Monetization!$Q$13=$A31,Monetization!$O$10*$D$3/100,0)</f>
        <v>0.7091236789533965</v>
      </c>
      <c r="C31" s="10">
        <f t="shared" si="1"/>
        <v>82.51788688941942</v>
      </c>
      <c r="D31" s="10">
        <f t="shared" si="0"/>
        <v>6.382113110580567</v>
      </c>
      <c r="E31" s="11">
        <f t="shared" si="2"/>
        <v>742.6609820047746</v>
      </c>
    </row>
    <row r="32" spans="1:5" ht="12.75">
      <c r="A32" s="9">
        <f t="shared" si="3"/>
        <v>26</v>
      </c>
      <c r="B32" s="10">
        <f>D31*$D$3/100-IF(Monetization!$Q$13=$A32,Monetization!$O$10*$D$3/100,0)</f>
        <v>0.6382113110580567</v>
      </c>
      <c r="C32" s="10">
        <f t="shared" si="1"/>
        <v>83.15609820047747</v>
      </c>
      <c r="D32" s="10">
        <f t="shared" si="0"/>
        <v>5.743901799522511</v>
      </c>
      <c r="E32" s="11">
        <f t="shared" si="2"/>
        <v>748.4048838042971</v>
      </c>
    </row>
    <row r="33" spans="1:5" ht="12.75">
      <c r="A33" s="9">
        <f t="shared" si="3"/>
        <v>27</v>
      </c>
      <c r="B33" s="10">
        <f>D32*$D$3/100-IF(Monetization!$Q$13=$A33,Monetization!$O$10*$D$3/100,0)</f>
        <v>0.5743901799522511</v>
      </c>
      <c r="C33" s="10">
        <f t="shared" si="1"/>
        <v>83.73048838042972</v>
      </c>
      <c r="D33" s="10">
        <f t="shared" si="0"/>
        <v>5.16951161957026</v>
      </c>
      <c r="E33" s="11">
        <f t="shared" si="2"/>
        <v>753.5743954238674</v>
      </c>
    </row>
    <row r="34" spans="1:5" ht="12.75">
      <c r="A34" s="9">
        <f t="shared" si="3"/>
        <v>28</v>
      </c>
      <c r="B34" s="10">
        <f>D33*$D$3/100-IF(Monetization!$Q$13=$A34,Monetization!$O$10*$D$3/100,0)</f>
        <v>0.516951161957026</v>
      </c>
      <c r="C34" s="10">
        <f t="shared" si="1"/>
        <v>84.24743954238674</v>
      </c>
      <c r="D34" s="10">
        <f t="shared" si="0"/>
        <v>4.652560457613233</v>
      </c>
      <c r="E34" s="11">
        <f t="shared" si="2"/>
        <v>758.2269558814806</v>
      </c>
    </row>
    <row r="35" spans="1:5" ht="12.75">
      <c r="A35" s="9">
        <f t="shared" si="3"/>
        <v>29</v>
      </c>
      <c r="B35" s="10">
        <f>D34*$D$3/100-IF(Monetization!$Q$13=$A35,Monetization!$O$10*$D$3/100,0)</f>
        <v>0.4652560457613233</v>
      </c>
      <c r="C35" s="10">
        <f t="shared" si="1"/>
        <v>84.71269558814807</v>
      </c>
      <c r="D35" s="10">
        <f t="shared" si="0"/>
        <v>4.18730441185191</v>
      </c>
      <c r="E35" s="11">
        <f t="shared" si="2"/>
        <v>762.4142602933325</v>
      </c>
    </row>
    <row r="36" spans="1:5" ht="12.75">
      <c r="A36" s="9">
        <f t="shared" si="3"/>
        <v>30</v>
      </c>
      <c r="B36" s="10">
        <f>D35*$D$3/100-IF(Monetization!$Q$13=$A36,Monetization!$O$10*$D$3/100,0)</f>
        <v>0.41873044118519104</v>
      </c>
      <c r="C36" s="10">
        <f t="shared" si="1"/>
        <v>85.13142602933326</v>
      </c>
      <c r="D36" s="10">
        <f t="shared" si="0"/>
        <v>3.768573970666719</v>
      </c>
      <c r="E36" s="11">
        <f t="shared" si="2"/>
        <v>766.1828342639992</v>
      </c>
    </row>
    <row r="37" spans="1:5" ht="12.75">
      <c r="A37" s="9">
        <f t="shared" si="3"/>
        <v>31</v>
      </c>
      <c r="B37" s="10">
        <f>D36*$D$3/100-IF(Monetization!$Q$13=$A37,Monetization!$O$10*$D$3/100,0)</f>
        <v>0.37685739706667193</v>
      </c>
      <c r="C37" s="10">
        <f t="shared" si="1"/>
        <v>85.50828342639993</v>
      </c>
      <c r="D37" s="10">
        <f t="shared" si="0"/>
        <v>3.3917165736000476</v>
      </c>
      <c r="E37" s="11">
        <f t="shared" si="2"/>
        <v>769.5745508375993</v>
      </c>
    </row>
    <row r="38" spans="1:5" ht="12.75">
      <c r="A38" s="9">
        <f t="shared" si="3"/>
        <v>32</v>
      </c>
      <c r="B38" s="10">
        <f>D37*$D$3/100-IF(Monetization!$Q$13=$A38,Monetization!$O$10*$D$3/100,0)</f>
        <v>0.33917165736000476</v>
      </c>
      <c r="C38" s="10">
        <f t="shared" si="1"/>
        <v>85.84745508375993</v>
      </c>
      <c r="D38" s="10">
        <f t="shared" si="0"/>
        <v>3.052544916240043</v>
      </c>
      <c r="E38" s="11">
        <f t="shared" si="2"/>
        <v>772.6270957538394</v>
      </c>
    </row>
    <row r="39" spans="1:5" ht="12.75">
      <c r="A39" s="9">
        <f t="shared" si="3"/>
        <v>33</v>
      </c>
      <c r="B39" s="10">
        <f>D38*$D$3/100-IF(Monetization!$Q$13=$A39,Monetization!$O$10*$D$3/100,0)</f>
        <v>0.3052544916240043</v>
      </c>
      <c r="C39" s="10">
        <f t="shared" si="1"/>
        <v>86.15270957538392</v>
      </c>
      <c r="D39" s="10">
        <f t="shared" si="0"/>
        <v>2.747290424616039</v>
      </c>
      <c r="E39" s="11">
        <f t="shared" si="2"/>
        <v>775.3743861784554</v>
      </c>
    </row>
    <row r="40" spans="1:5" ht="12.75">
      <c r="A40" s="9">
        <f t="shared" si="3"/>
        <v>34</v>
      </c>
      <c r="B40" s="10">
        <f>D39*$D$3/100-IF(Monetization!$Q$13=$A40,Monetization!$O$10*$D$3/100,0)</f>
        <v>0.2747290424616039</v>
      </c>
      <c r="C40" s="10">
        <f t="shared" si="1"/>
        <v>86.42743861784552</v>
      </c>
      <c r="D40" s="10">
        <f t="shared" si="0"/>
        <v>2.472561382154435</v>
      </c>
      <c r="E40" s="11">
        <f aca="true" t="shared" si="4" ref="E40:E71">E39+D40</f>
        <v>777.8469475606099</v>
      </c>
    </row>
    <row r="41" spans="1:5" ht="12.75">
      <c r="A41" s="9">
        <f t="shared" si="3"/>
        <v>35</v>
      </c>
      <c r="B41" s="10">
        <f>D40*$D$3/100-IF(Monetization!$Q$13=$A41,Monetization!$O$10*$D$3/100,0)</f>
        <v>0.2472561382154435</v>
      </c>
      <c r="C41" s="10">
        <f t="shared" si="1"/>
        <v>86.67469475606097</v>
      </c>
      <c r="D41" s="10">
        <f t="shared" si="0"/>
        <v>2.2253052439389913</v>
      </c>
      <c r="E41" s="11">
        <f t="shared" si="4"/>
        <v>780.072252804549</v>
      </c>
    </row>
    <row r="42" spans="1:5" ht="12.75">
      <c r="A42" s="9">
        <f t="shared" si="3"/>
        <v>36</v>
      </c>
      <c r="B42" s="10">
        <f>D41*$D$3/100-IF(Monetization!$Q$13=$A42,Monetization!$O$10*$D$3/100,0)</f>
        <v>0.22253052439389912</v>
      </c>
      <c r="C42" s="10">
        <f t="shared" si="1"/>
        <v>86.89722528045488</v>
      </c>
      <c r="D42" s="10">
        <f t="shared" si="0"/>
        <v>2.002774719545092</v>
      </c>
      <c r="E42" s="11">
        <f t="shared" si="4"/>
        <v>782.075027524094</v>
      </c>
    </row>
    <row r="43" spans="1:5" ht="12.75">
      <c r="A43" s="9">
        <f t="shared" si="3"/>
        <v>37</v>
      </c>
      <c r="B43" s="10">
        <f>D42*$D$3/100-IF(Monetization!$Q$13=$A43,Monetization!$O$10*$D$3/100,0)</f>
        <v>0.2002774719545092</v>
      </c>
      <c r="C43" s="10">
        <f t="shared" si="1"/>
        <v>87.09750275240938</v>
      </c>
      <c r="D43" s="10">
        <f t="shared" si="0"/>
        <v>1.8024972475905827</v>
      </c>
      <c r="E43" s="11">
        <f t="shared" si="4"/>
        <v>783.8775247716846</v>
      </c>
    </row>
    <row r="44" spans="1:5" ht="12.75">
      <c r="A44" s="9">
        <f t="shared" si="3"/>
        <v>38</v>
      </c>
      <c r="B44" s="10">
        <f>D43*$D$3/100-IF(Monetization!$Q$13=$A44,Monetization!$O$10*$D$3/100,0)</f>
        <v>0.18024972475905826</v>
      </c>
      <c r="C44" s="10">
        <f t="shared" si="1"/>
        <v>87.27775247716845</v>
      </c>
      <c r="D44" s="10">
        <f t="shared" si="0"/>
        <v>1.6222475228315243</v>
      </c>
      <c r="E44" s="11">
        <f t="shared" si="4"/>
        <v>785.4997722945162</v>
      </c>
    </row>
    <row r="45" spans="1:5" ht="12.75">
      <c r="A45" s="9">
        <f t="shared" si="3"/>
        <v>39</v>
      </c>
      <c r="B45" s="10">
        <f>D44*$D$3/100-IF(Monetization!$Q$13=$A45,Monetization!$O$10*$D$3/100,0)</f>
        <v>0.16222475228315245</v>
      </c>
      <c r="C45" s="10">
        <f t="shared" si="1"/>
        <v>87.4399772294516</v>
      </c>
      <c r="D45" s="10">
        <f t="shared" si="0"/>
        <v>1.4600227705483722</v>
      </c>
      <c r="E45" s="11">
        <f t="shared" si="4"/>
        <v>786.9597950650646</v>
      </c>
    </row>
    <row r="46" spans="1:5" ht="12.75">
      <c r="A46" s="9">
        <f t="shared" si="3"/>
        <v>40</v>
      </c>
      <c r="B46" s="10">
        <f>D45*$D$3/100-IF(Monetization!$Q$13=$A46,Monetization!$O$10*$D$3/100,0)</f>
        <v>0.1460022770548372</v>
      </c>
      <c r="C46" s="10">
        <f t="shared" si="1"/>
        <v>87.58597950650643</v>
      </c>
      <c r="D46" s="10">
        <f t="shared" si="0"/>
        <v>1.314020493493535</v>
      </c>
      <c r="E46" s="11">
        <f t="shared" si="4"/>
        <v>788.2738155585581</v>
      </c>
    </row>
    <row r="47" spans="1:5" ht="12.75">
      <c r="A47" s="9">
        <f>A46+1</f>
        <v>41</v>
      </c>
      <c r="B47" s="10">
        <f>D46*$D$3/100-IF(Monetization!$Q$13=$A47,Monetization!$O$10*$D$3/100,0)</f>
        <v>0.13140204934935348</v>
      </c>
      <c r="C47" s="10">
        <f>C46+B47</f>
        <v>87.71738155585578</v>
      </c>
      <c r="D47" s="10">
        <f>B47/$D$3*100-B47</f>
        <v>1.1826184441441814</v>
      </c>
      <c r="E47" s="11">
        <f t="shared" si="4"/>
        <v>789.4564340027023</v>
      </c>
    </row>
    <row r="48" spans="1:5" ht="12.75">
      <c r="A48" s="9">
        <f aca="true" t="shared" si="5" ref="A48:A74">A47+1</f>
        <v>42</v>
      </c>
      <c r="B48" s="10">
        <f>D47*$D$3/100-IF(Monetization!$Q$13=$A48,Monetization!$O$10*$D$3/100,0)</f>
        <v>0.11826184441441814</v>
      </c>
      <c r="C48" s="10">
        <f aca="true" t="shared" si="6" ref="C48:C74">C47+B48</f>
        <v>87.8356434002702</v>
      </c>
      <c r="D48" s="10">
        <f aca="true" t="shared" si="7" ref="D48:D74">B48/$D$3*100-B48</f>
        <v>1.0643565997297633</v>
      </c>
      <c r="E48" s="11">
        <f t="shared" si="4"/>
        <v>790.520790602432</v>
      </c>
    </row>
    <row r="49" spans="1:5" ht="12.75">
      <c r="A49" s="9">
        <f t="shared" si="5"/>
        <v>43</v>
      </c>
      <c r="B49" s="10">
        <f>D48*$D$3/100-IF(Monetization!$Q$13=$A49,Monetization!$O$10*$D$3/100,0)</f>
        <v>0.10643565997297631</v>
      </c>
      <c r="C49" s="10">
        <f t="shared" si="6"/>
        <v>87.94207906024317</v>
      </c>
      <c r="D49" s="10">
        <f t="shared" si="7"/>
        <v>0.9579209397567867</v>
      </c>
      <c r="E49" s="11">
        <f t="shared" si="4"/>
        <v>791.4787115421889</v>
      </c>
    </row>
    <row r="50" spans="1:5" ht="12.75">
      <c r="A50" s="9">
        <f t="shared" si="5"/>
        <v>44</v>
      </c>
      <c r="B50" s="10">
        <f>D49*$D$3/100-IF(Monetization!$Q$13=$A50,Monetization!$O$10*$D$3/100,0)</f>
        <v>0.09579209397567867</v>
      </c>
      <c r="C50" s="10">
        <f t="shared" si="6"/>
        <v>88.03787115421885</v>
      </c>
      <c r="D50" s="10">
        <f t="shared" si="7"/>
        <v>0.862128845781108</v>
      </c>
      <c r="E50" s="11">
        <f t="shared" si="4"/>
        <v>792.3408403879699</v>
      </c>
    </row>
    <row r="51" spans="1:5" ht="12.75">
      <c r="A51" s="9">
        <f t="shared" si="5"/>
        <v>45</v>
      </c>
      <c r="B51" s="10">
        <f>D50*$D$3/100-IF(Monetization!$Q$13=$A51,Monetization!$O$10*$D$3/100,0)</f>
        <v>0.0862128845781108</v>
      </c>
      <c r="C51" s="10">
        <f t="shared" si="6"/>
        <v>88.12408403879697</v>
      </c>
      <c r="D51" s="10">
        <f t="shared" si="7"/>
        <v>0.7759159612029972</v>
      </c>
      <c r="E51" s="11">
        <f t="shared" si="4"/>
        <v>793.1167563491729</v>
      </c>
    </row>
    <row r="52" spans="1:5" ht="12.75">
      <c r="A52" s="9">
        <f t="shared" si="5"/>
        <v>46</v>
      </c>
      <c r="B52" s="10">
        <f>D51*$D$3/100-IF(Monetization!$Q$13=$A52,Monetization!$O$10*$D$3/100,0)</f>
        <v>0.07759159612029971</v>
      </c>
      <c r="C52" s="10">
        <f t="shared" si="6"/>
        <v>88.20167563491727</v>
      </c>
      <c r="D52" s="10">
        <f t="shared" si="7"/>
        <v>0.6983243650826975</v>
      </c>
      <c r="E52" s="11">
        <f t="shared" si="4"/>
        <v>793.8150807142556</v>
      </c>
    </row>
    <row r="53" spans="1:5" ht="12.75">
      <c r="A53" s="9">
        <f t="shared" si="5"/>
        <v>47</v>
      </c>
      <c r="B53" s="10">
        <f>D52*$D$3/100-IF(Monetization!$Q$13=$A53,Monetization!$O$10*$D$3/100,0)</f>
        <v>0.06983243650826974</v>
      </c>
      <c r="C53" s="10">
        <f t="shared" si="6"/>
        <v>88.27150807142553</v>
      </c>
      <c r="D53" s="10">
        <f t="shared" si="7"/>
        <v>0.6284919285744276</v>
      </c>
      <c r="E53" s="11">
        <f t="shared" si="4"/>
        <v>794.4435726428301</v>
      </c>
    </row>
    <row r="54" spans="1:5" ht="12.75">
      <c r="A54" s="9">
        <f t="shared" si="5"/>
        <v>48</v>
      </c>
      <c r="B54" s="10">
        <f>D53*$D$3/100-IF(Monetization!$Q$13=$A54,Monetization!$O$10*$D$3/100,0)</f>
        <v>0.06284919285744275</v>
      </c>
      <c r="C54" s="10">
        <f t="shared" si="6"/>
        <v>88.33435726428297</v>
      </c>
      <c r="D54" s="10">
        <f t="shared" si="7"/>
        <v>0.5656427357169848</v>
      </c>
      <c r="E54" s="11">
        <f t="shared" si="4"/>
        <v>795.0092153785471</v>
      </c>
    </row>
    <row r="55" spans="1:5" ht="12.75">
      <c r="A55" s="9">
        <f t="shared" si="5"/>
        <v>49</v>
      </c>
      <c r="B55" s="10">
        <f>D54*$D$3/100-IF(Monetization!$Q$13=$A55,Monetization!$O$10*$D$3/100,0)</f>
        <v>0.05656427357169847</v>
      </c>
      <c r="C55" s="10">
        <f t="shared" si="6"/>
        <v>88.39092153785467</v>
      </c>
      <c r="D55" s="10">
        <f t="shared" si="7"/>
        <v>0.5090784621452862</v>
      </c>
      <c r="E55" s="11">
        <f t="shared" si="4"/>
        <v>795.5182938406924</v>
      </c>
    </row>
    <row r="56" spans="1:5" ht="12.75">
      <c r="A56" s="9">
        <f t="shared" si="5"/>
        <v>50</v>
      </c>
      <c r="B56" s="10">
        <f>D55*$D$3/100-IF(Monetization!$Q$13=$A56,Monetization!$O$10*$D$3/100,0)</f>
        <v>0.05090784621452862</v>
      </c>
      <c r="C56" s="10">
        <f t="shared" si="6"/>
        <v>88.4418293840692</v>
      </c>
      <c r="D56" s="10">
        <f t="shared" si="7"/>
        <v>0.4581706159307576</v>
      </c>
      <c r="E56" s="11">
        <f t="shared" si="4"/>
        <v>795.9764644566231</v>
      </c>
    </row>
    <row r="57" spans="1:5" ht="12.75">
      <c r="A57" s="9">
        <f t="shared" si="5"/>
        <v>51</v>
      </c>
      <c r="B57" s="10">
        <f>D56*$D$3/100-IF(Monetization!$Q$13=$A57,Monetization!$O$10*$D$3/100,0)</f>
        <v>0.045817061593075754</v>
      </c>
      <c r="C57" s="10">
        <f t="shared" si="6"/>
        <v>88.48764644566226</v>
      </c>
      <c r="D57" s="10">
        <f t="shared" si="7"/>
        <v>0.4123535543376818</v>
      </c>
      <c r="E57" s="11">
        <f t="shared" si="4"/>
        <v>796.3888180109608</v>
      </c>
    </row>
    <row r="58" spans="1:5" ht="12.75">
      <c r="A58" s="9">
        <f t="shared" si="5"/>
        <v>52</v>
      </c>
      <c r="B58" s="10">
        <f>D57*$D$3/100-IF(Monetization!$Q$13=$A58,Monetization!$O$10*$D$3/100,0)</f>
        <v>0.041235355433768175</v>
      </c>
      <c r="C58" s="10">
        <f t="shared" si="6"/>
        <v>88.52888180109603</v>
      </c>
      <c r="D58" s="10">
        <f t="shared" si="7"/>
        <v>0.3711181989039136</v>
      </c>
      <c r="E58" s="11">
        <f t="shared" si="4"/>
        <v>796.7599362098647</v>
      </c>
    </row>
    <row r="59" spans="1:5" ht="12.75">
      <c r="A59" s="9">
        <f t="shared" si="5"/>
        <v>53</v>
      </c>
      <c r="B59" s="10">
        <f>D58*$D$3/100-IF(Monetization!$Q$13=$A59,Monetization!$O$10*$D$3/100,0)</f>
        <v>0.03711181989039136</v>
      </c>
      <c r="C59" s="10">
        <f t="shared" si="6"/>
        <v>88.56599362098642</v>
      </c>
      <c r="D59" s="10">
        <f t="shared" si="7"/>
        <v>0.33400637901352226</v>
      </c>
      <c r="E59" s="11">
        <f t="shared" si="4"/>
        <v>797.0939425888782</v>
      </c>
    </row>
    <row r="60" spans="1:5" ht="12.75">
      <c r="A60" s="9">
        <f t="shared" si="5"/>
        <v>54</v>
      </c>
      <c r="B60" s="10">
        <f>D59*$D$3/100-IF(Monetization!$Q$13=$A60,Monetization!$O$10*$D$3/100,0)</f>
        <v>0.033400637901352226</v>
      </c>
      <c r="C60" s="10">
        <f t="shared" si="6"/>
        <v>88.59939425888777</v>
      </c>
      <c r="D60" s="10">
        <f t="shared" si="7"/>
        <v>0.30060574111217003</v>
      </c>
      <c r="E60" s="11">
        <f t="shared" si="4"/>
        <v>797.3945483299904</v>
      </c>
    </row>
    <row r="61" spans="1:5" ht="12.75">
      <c r="A61" s="9">
        <f t="shared" si="5"/>
        <v>55</v>
      </c>
      <c r="B61" s="10">
        <f>D60*$D$3/100-IF(Monetization!$Q$13=$A61,Monetization!$O$10*$D$3/100,0)</f>
        <v>0.030060574111217004</v>
      </c>
      <c r="C61" s="10">
        <f t="shared" si="6"/>
        <v>88.62945483299899</v>
      </c>
      <c r="D61" s="10">
        <f t="shared" si="7"/>
        <v>0.27054516700095305</v>
      </c>
      <c r="E61" s="11">
        <f t="shared" si="4"/>
        <v>797.6650934969913</v>
      </c>
    </row>
    <row r="62" spans="1:5" ht="12.75">
      <c r="A62" s="9">
        <f t="shared" si="5"/>
        <v>56</v>
      </c>
      <c r="B62" s="10">
        <f>D61*$D$3/100-IF(Monetization!$Q$13=$A62,Monetization!$O$10*$D$3/100,0)</f>
        <v>0.027054516700095305</v>
      </c>
      <c r="C62" s="10">
        <f t="shared" si="6"/>
        <v>88.65650934969908</v>
      </c>
      <c r="D62" s="10">
        <f t="shared" si="7"/>
        <v>0.24349065030085773</v>
      </c>
      <c r="E62" s="11">
        <f t="shared" si="4"/>
        <v>797.9085841472921</v>
      </c>
    </row>
    <row r="63" spans="1:5" ht="12.75">
      <c r="A63" s="9">
        <f t="shared" si="5"/>
        <v>57</v>
      </c>
      <c r="B63" s="10">
        <f>D62*$D$3/100-IF(Monetization!$Q$13=$A63,Monetization!$O$10*$D$3/100,0)</f>
        <v>0.024349065030085774</v>
      </c>
      <c r="C63" s="10">
        <f t="shared" si="6"/>
        <v>88.68085841472916</v>
      </c>
      <c r="D63" s="10">
        <f t="shared" si="7"/>
        <v>0.21914158527077196</v>
      </c>
      <c r="E63" s="11">
        <f t="shared" si="4"/>
        <v>798.1277257325629</v>
      </c>
    </row>
    <row r="64" spans="1:5" ht="12.75">
      <c r="A64" s="9">
        <f t="shared" si="5"/>
        <v>58</v>
      </c>
      <c r="B64" s="10">
        <f>D63*$D$3/100-IF(Monetization!$Q$13=$A64,Monetization!$O$10*$D$3/100,0)</f>
        <v>0.021914158527077197</v>
      </c>
      <c r="C64" s="10">
        <f t="shared" si="6"/>
        <v>88.70277257325624</v>
      </c>
      <c r="D64" s="10">
        <f t="shared" si="7"/>
        <v>0.19722742674369478</v>
      </c>
      <c r="E64" s="11">
        <f t="shared" si="4"/>
        <v>798.3249531593066</v>
      </c>
    </row>
    <row r="65" spans="1:5" ht="12.75">
      <c r="A65" s="9">
        <f t="shared" si="5"/>
        <v>59</v>
      </c>
      <c r="B65" s="10">
        <f>D64*$D$3/100-IF(Monetization!$Q$13=$A65,Monetization!$O$10*$D$3/100,0)</f>
        <v>0.01972274267436948</v>
      </c>
      <c r="C65" s="10">
        <f t="shared" si="6"/>
        <v>88.72249531593062</v>
      </c>
      <c r="D65" s="10">
        <f t="shared" si="7"/>
        <v>0.17750468406932535</v>
      </c>
      <c r="E65" s="11">
        <f t="shared" si="4"/>
        <v>798.5024578433759</v>
      </c>
    </row>
    <row r="66" spans="1:5" ht="12.75">
      <c r="A66" s="9">
        <f t="shared" si="5"/>
        <v>60</v>
      </c>
      <c r="B66" s="10">
        <f>D65*$D$3/100-IF(Monetization!$Q$13=$A66,Monetization!$O$10*$D$3/100,0)</f>
        <v>0.017750468406932535</v>
      </c>
      <c r="C66" s="10">
        <f t="shared" si="6"/>
        <v>88.74024578433755</v>
      </c>
      <c r="D66" s="10">
        <f t="shared" si="7"/>
        <v>0.1597542156623928</v>
      </c>
      <c r="E66" s="11">
        <f t="shared" si="4"/>
        <v>798.6622120590382</v>
      </c>
    </row>
    <row r="67" spans="1:5" ht="12.75">
      <c r="A67" s="9">
        <f t="shared" si="5"/>
        <v>61</v>
      </c>
      <c r="B67" s="10">
        <f>D66*$D$3/100-IF(Monetization!$Q$13=$A67,Monetization!$O$10*$D$3/100,0)</f>
        <v>0.01597542156623928</v>
      </c>
      <c r="C67" s="10">
        <f t="shared" si="6"/>
        <v>88.75622120590378</v>
      </c>
      <c r="D67" s="10">
        <f t="shared" si="7"/>
        <v>0.14377879409615352</v>
      </c>
      <c r="E67" s="11">
        <f t="shared" si="4"/>
        <v>798.8059908531344</v>
      </c>
    </row>
    <row r="68" spans="1:5" ht="12.75">
      <c r="A68" s="9">
        <f t="shared" si="5"/>
        <v>62</v>
      </c>
      <c r="B68" s="10">
        <f>D67*$D$3/100-IF(Monetization!$Q$13=$A68,Monetization!$O$10*$D$3/100,0)</f>
        <v>0.01437787940961535</v>
      </c>
      <c r="C68" s="10">
        <f t="shared" si="6"/>
        <v>88.7705990853134</v>
      </c>
      <c r="D68" s="10">
        <f t="shared" si="7"/>
        <v>0.12940091468653817</v>
      </c>
      <c r="E68" s="11">
        <f t="shared" si="4"/>
        <v>798.935391767821</v>
      </c>
    </row>
    <row r="69" spans="1:5" ht="12.75">
      <c r="A69" s="9">
        <f t="shared" si="5"/>
        <v>63</v>
      </c>
      <c r="B69" s="10">
        <f>D68*$D$3/100-IF(Monetization!$Q$13=$A69,Monetization!$O$10*$D$3/100,0)</f>
        <v>0.012940091468653816</v>
      </c>
      <c r="C69" s="10">
        <f t="shared" si="6"/>
        <v>88.78353917678206</v>
      </c>
      <c r="D69" s="10">
        <f t="shared" si="7"/>
        <v>0.11646082321788435</v>
      </c>
      <c r="E69" s="11">
        <f t="shared" si="4"/>
        <v>799.0518525910388</v>
      </c>
    </row>
    <row r="70" spans="1:5" ht="12.75">
      <c r="A70" s="9">
        <f t="shared" si="5"/>
        <v>64</v>
      </c>
      <c r="B70" s="10">
        <f>D69*$D$3/100-IF(Monetization!$Q$13=$A70,Monetization!$O$10*$D$3/100,0)</f>
        <v>0.011646082321788436</v>
      </c>
      <c r="C70" s="10">
        <f t="shared" si="6"/>
        <v>88.79518525910385</v>
      </c>
      <c r="D70" s="10">
        <f t="shared" si="7"/>
        <v>0.10481474089609592</v>
      </c>
      <c r="E70" s="11">
        <f t="shared" si="4"/>
        <v>799.156667331935</v>
      </c>
    </row>
    <row r="71" spans="1:5" ht="12.75">
      <c r="A71" s="9">
        <f t="shared" si="5"/>
        <v>65</v>
      </c>
      <c r="B71" s="10">
        <f>D70*$D$3/100-IF(Monetization!$Q$13=$A71,Monetization!$O$10*$D$3/100,0)</f>
        <v>0.010481474089609593</v>
      </c>
      <c r="C71" s="10">
        <f t="shared" si="6"/>
        <v>88.80566673319346</v>
      </c>
      <c r="D71" s="10">
        <f t="shared" si="7"/>
        <v>0.09433326680648635</v>
      </c>
      <c r="E71" s="11">
        <f t="shared" si="4"/>
        <v>799.2510005987415</v>
      </c>
    </row>
    <row r="72" spans="1:5" ht="12.75">
      <c r="A72" s="9">
        <f t="shared" si="5"/>
        <v>66</v>
      </c>
      <c r="B72" s="10">
        <f>D71*$D$3/100-IF(Monetization!$Q$13=$A72,Monetization!$O$10*$D$3/100,0)</f>
        <v>0.009433326680648635</v>
      </c>
      <c r="C72" s="10">
        <f t="shared" si="6"/>
        <v>88.81510005987411</v>
      </c>
      <c r="D72" s="10">
        <f t="shared" si="7"/>
        <v>0.08489994012583771</v>
      </c>
      <c r="E72" s="11">
        <f aca="true" t="shared" si="8" ref="E72:E103">E71+D72</f>
        <v>799.3359005388673</v>
      </c>
    </row>
    <row r="73" spans="1:5" ht="12.75">
      <c r="A73" s="9">
        <f t="shared" si="5"/>
        <v>67</v>
      </c>
      <c r="B73" s="10">
        <f>D72*$D$3/100-IF(Monetization!$Q$13=$A73,Monetization!$O$10*$D$3/100,0)</f>
        <v>0.00848999401258377</v>
      </c>
      <c r="C73" s="10">
        <f t="shared" si="6"/>
        <v>88.82359005388669</v>
      </c>
      <c r="D73" s="10">
        <f t="shared" si="7"/>
        <v>0.07640994611325394</v>
      </c>
      <c r="E73" s="11">
        <f t="shared" si="8"/>
        <v>799.4123104849806</v>
      </c>
    </row>
    <row r="74" spans="1:5" ht="12.75">
      <c r="A74" s="9">
        <f t="shared" si="5"/>
        <v>68</v>
      </c>
      <c r="B74" s="10">
        <f>D73*$D$3/100-IF(Monetization!$Q$13=$A74,Monetization!$O$10*$D$3/100,0)</f>
        <v>0.007640994611325394</v>
      </c>
      <c r="C74" s="10">
        <f t="shared" si="6"/>
        <v>88.83123104849801</v>
      </c>
      <c r="D74" s="10">
        <f t="shared" si="7"/>
        <v>0.06876895150192855</v>
      </c>
      <c r="E74" s="11">
        <f t="shared" si="8"/>
        <v>799.4810794364826</v>
      </c>
    </row>
    <row r="75" spans="1:5" ht="12.75">
      <c r="A75" s="9">
        <f aca="true" t="shared" si="9" ref="A75:A82">A74+1</f>
        <v>69</v>
      </c>
      <c r="B75" s="10">
        <f>D74*$D$3/100-IF(Monetization!$Q$13=$A75,Monetization!$O$10*$D$3/100,0)</f>
        <v>0.006876895150192855</v>
      </c>
      <c r="C75" s="10">
        <f aca="true" t="shared" si="10" ref="C75:C82">C74+B75</f>
        <v>88.83810794364821</v>
      </c>
      <c r="D75" s="10">
        <f aca="true" t="shared" si="11" ref="D75:D82">B75/$D$3*100-B75</f>
        <v>0.0618920563517357</v>
      </c>
      <c r="E75" s="11">
        <f t="shared" si="8"/>
        <v>799.5429714928343</v>
      </c>
    </row>
    <row r="76" spans="1:5" ht="12.75">
      <c r="A76" s="9">
        <f t="shared" si="9"/>
        <v>70</v>
      </c>
      <c r="B76" s="10">
        <f>D75*$D$3/100-IF(Monetization!$Q$13=$A76,Monetization!$O$10*$D$3/100,0)</f>
        <v>0.006189205635173569</v>
      </c>
      <c r="C76" s="10">
        <f t="shared" si="10"/>
        <v>88.84429714928338</v>
      </c>
      <c r="D76" s="10">
        <f t="shared" si="11"/>
        <v>0.05570285071656212</v>
      </c>
      <c r="E76" s="11">
        <f t="shared" si="8"/>
        <v>799.5986743435509</v>
      </c>
    </row>
    <row r="77" spans="1:5" ht="12.75">
      <c r="A77" s="9">
        <f t="shared" si="9"/>
        <v>71</v>
      </c>
      <c r="B77" s="10">
        <f>D76*$D$3/100-IF(Monetization!$Q$13=$A77,Monetization!$O$10*$D$3/100,0)</f>
        <v>0.0055702850716562126</v>
      </c>
      <c r="C77" s="10">
        <f t="shared" si="10"/>
        <v>88.84986743435503</v>
      </c>
      <c r="D77" s="10">
        <f t="shared" si="11"/>
        <v>0.05013256564490591</v>
      </c>
      <c r="E77" s="11">
        <f t="shared" si="8"/>
        <v>799.6488069091959</v>
      </c>
    </row>
    <row r="78" spans="1:5" ht="12.75">
      <c r="A78" s="9">
        <f t="shared" si="9"/>
        <v>72</v>
      </c>
      <c r="B78" s="10">
        <f>D77*$D$3/100-IF(Monetization!$Q$13=$A78,Monetization!$O$10*$D$3/100,0)</f>
        <v>0.005013256564490591</v>
      </c>
      <c r="C78" s="10">
        <f t="shared" si="10"/>
        <v>88.85488069091953</v>
      </c>
      <c r="D78" s="10">
        <f t="shared" si="11"/>
        <v>0.04511930908041532</v>
      </c>
      <c r="E78" s="11">
        <f t="shared" si="8"/>
        <v>799.6939262182763</v>
      </c>
    </row>
    <row r="79" spans="1:5" ht="12.75">
      <c r="A79" s="9">
        <f t="shared" si="9"/>
        <v>73</v>
      </c>
      <c r="B79" s="10">
        <f>D78*$D$3/100-IF(Monetization!$Q$13=$A79,Monetization!$O$10*$D$3/100,0)</f>
        <v>0.004511930908041532</v>
      </c>
      <c r="C79" s="10">
        <f t="shared" si="10"/>
        <v>88.85939262182757</v>
      </c>
      <c r="D79" s="10">
        <f t="shared" si="11"/>
        <v>0.04060737817237378</v>
      </c>
      <c r="E79" s="11">
        <f t="shared" si="8"/>
        <v>799.7345335964486</v>
      </c>
    </row>
    <row r="80" spans="1:5" ht="12.75">
      <c r="A80" s="9">
        <f t="shared" si="9"/>
        <v>74</v>
      </c>
      <c r="B80" s="10">
        <f>D79*$D$3/100-IF(Monetization!$Q$13=$A80,Monetization!$O$10*$D$3/100,0)</f>
        <v>0.0040607378172373785</v>
      </c>
      <c r="C80" s="10">
        <f t="shared" si="10"/>
        <v>88.86345335964481</v>
      </c>
      <c r="D80" s="10">
        <f t="shared" si="11"/>
        <v>0.036546640355136405</v>
      </c>
      <c r="E80" s="11">
        <f t="shared" si="8"/>
        <v>799.7710802368038</v>
      </c>
    </row>
    <row r="81" spans="1:5" ht="12.75">
      <c r="A81" s="9">
        <f t="shared" si="9"/>
        <v>75</v>
      </c>
      <c r="B81" s="10">
        <f>D80*$D$3/100-IF(Monetization!$Q$13=$A81,Monetization!$O$10*$D$3/100,0)</f>
        <v>0.003654664035513641</v>
      </c>
      <c r="C81" s="10">
        <f t="shared" si="10"/>
        <v>88.86710802368032</v>
      </c>
      <c r="D81" s="10">
        <f t="shared" si="11"/>
        <v>0.03289197631962277</v>
      </c>
      <c r="E81" s="11">
        <f t="shared" si="8"/>
        <v>799.8039722131234</v>
      </c>
    </row>
    <row r="82" spans="1:5" ht="12.75">
      <c r="A82" s="9">
        <f t="shared" si="9"/>
        <v>76</v>
      </c>
      <c r="B82" s="10">
        <f>D81*$D$3/100-IF(Monetization!$Q$13=$A82,Monetization!$O$10*$D$3/100,0)</f>
        <v>0.0032891976319622766</v>
      </c>
      <c r="C82" s="10">
        <f t="shared" si="10"/>
        <v>88.87039722131227</v>
      </c>
      <c r="D82" s="10">
        <f t="shared" si="11"/>
        <v>0.029602778687660494</v>
      </c>
      <c r="E82" s="11">
        <f t="shared" si="8"/>
        <v>799.833574991811</v>
      </c>
    </row>
    <row r="83" spans="1:5" ht="12.75">
      <c r="A83" s="9">
        <f aca="true" t="shared" si="12" ref="A83:A106">A82+1</f>
        <v>77</v>
      </c>
      <c r="B83" s="10">
        <f>D82*$D$3/100-IF(Monetization!$Q$13=$A83,Monetization!$O$10*$D$3/100,0)</f>
        <v>0.002960277868766049</v>
      </c>
      <c r="C83" s="10">
        <f aca="true" t="shared" si="13" ref="C83:C106">C82+B83</f>
        <v>88.87335749918104</v>
      </c>
      <c r="D83" s="10">
        <f aca="true" t="shared" si="14" ref="D83:D106">B83/$D$3*100-B83</f>
        <v>0.02664250081889444</v>
      </c>
      <c r="E83" s="11">
        <f t="shared" si="8"/>
        <v>799.8602174926299</v>
      </c>
    </row>
    <row r="84" spans="1:5" ht="12.75">
      <c r="A84" s="9">
        <f t="shared" si="12"/>
        <v>78</v>
      </c>
      <c r="B84" s="10">
        <f>D83*$D$3/100-IF(Monetization!$Q$13=$A84,Monetization!$O$10*$D$3/100,0)</f>
        <v>0.0026642500818894444</v>
      </c>
      <c r="C84" s="10">
        <f t="shared" si="13"/>
        <v>88.87602174926293</v>
      </c>
      <c r="D84" s="10">
        <f t="shared" si="14"/>
        <v>0.023978250737005</v>
      </c>
      <c r="E84" s="11">
        <f t="shared" si="8"/>
        <v>799.884195743367</v>
      </c>
    </row>
    <row r="85" spans="1:5" ht="12.75">
      <c r="A85" s="9">
        <f t="shared" si="12"/>
        <v>79</v>
      </c>
      <c r="B85" s="10">
        <f>D84*$D$3/100-IF(Monetization!$Q$13=$A85,Monetization!$O$10*$D$3/100,0)</f>
        <v>0.0023978250737005003</v>
      </c>
      <c r="C85" s="10">
        <f t="shared" si="13"/>
        <v>88.87841957433663</v>
      </c>
      <c r="D85" s="10">
        <f t="shared" si="14"/>
        <v>0.021580425663304502</v>
      </c>
      <c r="E85" s="11">
        <f t="shared" si="8"/>
        <v>799.9057761690302</v>
      </c>
    </row>
    <row r="86" spans="1:5" ht="12.75">
      <c r="A86" s="9">
        <f t="shared" si="12"/>
        <v>80</v>
      </c>
      <c r="B86" s="10">
        <f>D85*$D$3/100-IF(Monetization!$Q$13=$A86,Monetization!$O$10*$D$3/100,0)</f>
        <v>0.00215804256633045</v>
      </c>
      <c r="C86" s="10">
        <f t="shared" si="13"/>
        <v>88.88057761690297</v>
      </c>
      <c r="D86" s="10">
        <f t="shared" si="14"/>
        <v>0.01942238309697405</v>
      </c>
      <c r="E86" s="11">
        <f t="shared" si="8"/>
        <v>799.9251985521272</v>
      </c>
    </row>
    <row r="87" spans="1:5" ht="12.75">
      <c r="A87" s="9">
        <f t="shared" si="12"/>
        <v>81</v>
      </c>
      <c r="B87" s="10">
        <f>D86*$D$3/100-IF(Monetization!$Q$13=$A87,Monetization!$O$10*$D$3/100,0)</f>
        <v>0.0019422383096974053</v>
      </c>
      <c r="C87" s="10">
        <f t="shared" si="13"/>
        <v>88.88251985521266</v>
      </c>
      <c r="D87" s="10">
        <f t="shared" si="14"/>
        <v>0.01748014478727665</v>
      </c>
      <c r="E87" s="11">
        <f t="shared" si="8"/>
        <v>799.9426786969145</v>
      </c>
    </row>
    <row r="88" spans="1:5" ht="12.75">
      <c r="A88" s="9">
        <f t="shared" si="12"/>
        <v>82</v>
      </c>
      <c r="B88" s="10">
        <f>D87*$D$3/100-IF(Monetization!$Q$13=$A88,Monetization!$O$10*$D$3/100,0)</f>
        <v>0.001748014478727665</v>
      </c>
      <c r="C88" s="10">
        <f t="shared" si="13"/>
        <v>88.88426786969139</v>
      </c>
      <c r="D88" s="10">
        <f t="shared" si="14"/>
        <v>0.015732130308548985</v>
      </c>
      <c r="E88" s="11">
        <f t="shared" si="8"/>
        <v>799.958410827223</v>
      </c>
    </row>
    <row r="89" spans="1:5" ht="12.75">
      <c r="A89" s="9">
        <f t="shared" si="12"/>
        <v>83</v>
      </c>
      <c r="B89" s="10">
        <f>D88*$D$3/100-IF(Monetization!$Q$13=$A89,Monetization!$O$10*$D$3/100,0)</f>
        <v>0.0015732130308548987</v>
      </c>
      <c r="C89" s="10">
        <f t="shared" si="13"/>
        <v>88.88584108272224</v>
      </c>
      <c r="D89" s="10">
        <f t="shared" si="14"/>
        <v>0.01415891727769409</v>
      </c>
      <c r="E89" s="11">
        <f t="shared" si="8"/>
        <v>799.9725697445007</v>
      </c>
    </row>
    <row r="90" spans="1:5" ht="12.75">
      <c r="A90" s="9">
        <f t="shared" si="12"/>
        <v>84</v>
      </c>
      <c r="B90" s="10">
        <f>D89*$D$3/100-IF(Monetization!$Q$13=$A90,Monetization!$O$10*$D$3/100,0)</f>
        <v>0.0014158917277694088</v>
      </c>
      <c r="C90" s="10">
        <f t="shared" si="13"/>
        <v>88.88725697445001</v>
      </c>
      <c r="D90" s="10">
        <f t="shared" si="14"/>
        <v>0.01274302554992468</v>
      </c>
      <c r="E90" s="11">
        <f t="shared" si="8"/>
        <v>799.9853127700507</v>
      </c>
    </row>
    <row r="91" spans="1:5" ht="12.75">
      <c r="A91" s="9">
        <f t="shared" si="12"/>
        <v>85</v>
      </c>
      <c r="B91" s="10">
        <f>D90*$D$3/100-IF(Monetization!$Q$13=$A91,Monetization!$O$10*$D$3/100,0)</f>
        <v>0.001274302554992468</v>
      </c>
      <c r="C91" s="10">
        <f t="shared" si="13"/>
        <v>88.888531277005</v>
      </c>
      <c r="D91" s="10">
        <f t="shared" si="14"/>
        <v>0.011468722994932212</v>
      </c>
      <c r="E91" s="11">
        <f t="shared" si="8"/>
        <v>799.9967814930455</v>
      </c>
    </row>
    <row r="92" spans="1:5" ht="12.75">
      <c r="A92" s="9">
        <f t="shared" si="12"/>
        <v>86</v>
      </c>
      <c r="B92" s="10">
        <f>D91*$D$3/100-IF(Monetization!$Q$13=$A92,Monetization!$O$10*$D$3/100,0)</f>
        <v>0.0011468722994932212</v>
      </c>
      <c r="C92" s="10">
        <f t="shared" si="13"/>
        <v>88.88967814930449</v>
      </c>
      <c r="D92" s="10">
        <f t="shared" si="14"/>
        <v>0.010321850695438992</v>
      </c>
      <c r="E92" s="11">
        <f t="shared" si="8"/>
        <v>800.0071033437409</v>
      </c>
    </row>
    <row r="93" spans="1:5" ht="12.75">
      <c r="A93" s="9">
        <f t="shared" si="12"/>
        <v>87</v>
      </c>
      <c r="B93" s="10">
        <f>D92*$D$3/100-IF(Monetization!$Q$13=$A93,Monetization!$O$10*$D$3/100,0)</f>
        <v>0.0010321850695438992</v>
      </c>
      <c r="C93" s="10">
        <f t="shared" si="13"/>
        <v>88.89071033437403</v>
      </c>
      <c r="D93" s="10">
        <f t="shared" si="14"/>
        <v>0.009289665625895093</v>
      </c>
      <c r="E93" s="11">
        <f t="shared" si="8"/>
        <v>800.0163930093669</v>
      </c>
    </row>
    <row r="94" spans="1:5" ht="12.75">
      <c r="A94" s="9">
        <f t="shared" si="12"/>
        <v>88</v>
      </c>
      <c r="B94" s="10">
        <f>D93*$D$3/100-IF(Monetization!$Q$13=$A94,Monetization!$O$10*$D$3/100,0)</f>
        <v>0.0009289665625895094</v>
      </c>
      <c r="C94" s="10">
        <f t="shared" si="13"/>
        <v>88.89163930093662</v>
      </c>
      <c r="D94" s="10">
        <f t="shared" si="14"/>
        <v>0.008360699063305584</v>
      </c>
      <c r="E94" s="11">
        <f t="shared" si="8"/>
        <v>800.0247537084302</v>
      </c>
    </row>
    <row r="95" spans="1:5" ht="12.75">
      <c r="A95" s="9">
        <f t="shared" si="12"/>
        <v>89</v>
      </c>
      <c r="B95" s="10">
        <f>D94*$D$3/100-IF(Monetization!$Q$13=$A95,Monetization!$O$10*$D$3/100,0)</f>
        <v>0.0008360699063305584</v>
      </c>
      <c r="C95" s="10">
        <f t="shared" si="13"/>
        <v>88.89247537084294</v>
      </c>
      <c r="D95" s="10">
        <f t="shared" si="14"/>
        <v>0.0075246291569750256</v>
      </c>
      <c r="E95" s="11">
        <f t="shared" si="8"/>
        <v>800.0322783375872</v>
      </c>
    </row>
    <row r="96" spans="1:5" ht="12.75">
      <c r="A96" s="9">
        <f t="shared" si="12"/>
        <v>90</v>
      </c>
      <c r="B96" s="10">
        <f>D95*$D$3/100-IF(Monetization!$Q$13=$A96,Monetization!$O$10*$D$3/100,0)</f>
        <v>0.0007524629156975025</v>
      </c>
      <c r="C96" s="10">
        <f t="shared" si="13"/>
        <v>88.89322783375864</v>
      </c>
      <c r="D96" s="10">
        <f t="shared" si="14"/>
        <v>0.006772166241277523</v>
      </c>
      <c r="E96" s="11">
        <f t="shared" si="8"/>
        <v>800.0390505038284</v>
      </c>
    </row>
    <row r="97" spans="1:5" ht="12.75">
      <c r="A97" s="9">
        <f t="shared" si="12"/>
        <v>91</v>
      </c>
      <c r="B97" s="10">
        <f>D96*$D$3/100-IF(Monetization!$Q$13=$A97,Monetization!$O$10*$D$3/100,0)</f>
        <v>0.0006772166241277523</v>
      </c>
      <c r="C97" s="10">
        <f t="shared" si="13"/>
        <v>88.89390505038277</v>
      </c>
      <c r="D97" s="10">
        <f t="shared" si="14"/>
        <v>0.006094949617149771</v>
      </c>
      <c r="E97" s="11">
        <f t="shared" si="8"/>
        <v>800.0451454534456</v>
      </c>
    </row>
    <row r="98" spans="1:5" ht="12.75">
      <c r="A98" s="9">
        <f t="shared" si="12"/>
        <v>92</v>
      </c>
      <c r="B98" s="10">
        <f>D97*$D$3/100-IF(Monetization!$Q$13=$A98,Monetization!$O$10*$D$3/100,0)</f>
        <v>0.0006094949617149771</v>
      </c>
      <c r="C98" s="10">
        <f t="shared" si="13"/>
        <v>88.89451454534448</v>
      </c>
      <c r="D98" s="10">
        <f t="shared" si="14"/>
        <v>0.005485454655434794</v>
      </c>
      <c r="E98" s="11">
        <f t="shared" si="8"/>
        <v>800.050630908101</v>
      </c>
    </row>
    <row r="99" spans="1:5" ht="12.75">
      <c r="A99" s="9">
        <f t="shared" si="12"/>
        <v>93</v>
      </c>
      <c r="B99" s="10">
        <f>D98*$D$3/100-IF(Monetization!$Q$13=$A99,Monetization!$O$10*$D$3/100,0)</f>
        <v>0.0005485454655434794</v>
      </c>
      <c r="C99" s="10">
        <f t="shared" si="13"/>
        <v>88.89506309081003</v>
      </c>
      <c r="D99" s="10">
        <f t="shared" si="14"/>
        <v>0.004936909189891314</v>
      </c>
      <c r="E99" s="11">
        <f t="shared" si="8"/>
        <v>800.0555678172908</v>
      </c>
    </row>
    <row r="100" spans="1:5" ht="12.75">
      <c r="A100" s="9">
        <f t="shared" si="12"/>
        <v>94</v>
      </c>
      <c r="B100" s="10">
        <f>D99*$D$3/100-IF(Monetization!$Q$13=$A100,Monetization!$O$10*$D$3/100,0)</f>
        <v>0.0004936909189891314</v>
      </c>
      <c r="C100" s="10">
        <f t="shared" si="13"/>
        <v>88.89555678172901</v>
      </c>
      <c r="D100" s="10">
        <f t="shared" si="14"/>
        <v>0.004443218270902183</v>
      </c>
      <c r="E100" s="11">
        <f t="shared" si="8"/>
        <v>800.0600110355617</v>
      </c>
    </row>
    <row r="101" spans="1:5" ht="12.75">
      <c r="A101" s="9">
        <f t="shared" si="12"/>
        <v>95</v>
      </c>
      <c r="B101" s="10">
        <f>D100*$D$3/100-IF(Monetization!$Q$13=$A101,Monetization!$O$10*$D$3/100,0)</f>
        <v>0.00044432182709021827</v>
      </c>
      <c r="C101" s="10">
        <f t="shared" si="13"/>
        <v>88.8960011035561</v>
      </c>
      <c r="D101" s="10">
        <f t="shared" si="14"/>
        <v>0.003998896443811964</v>
      </c>
      <c r="E101" s="11">
        <f t="shared" si="8"/>
        <v>800.0640099320055</v>
      </c>
    </row>
    <row r="102" spans="1:5" ht="12.75">
      <c r="A102" s="9">
        <f t="shared" si="12"/>
        <v>96</v>
      </c>
      <c r="B102" s="10">
        <f>D101*$D$3/100-IF(Monetization!$Q$13=$A102,Monetization!$O$10*$D$3/100,0)</f>
        <v>0.0003998896443811964</v>
      </c>
      <c r="C102" s="10">
        <f t="shared" si="13"/>
        <v>88.89640099320049</v>
      </c>
      <c r="D102" s="10">
        <f t="shared" si="14"/>
        <v>0.0035990067994307673</v>
      </c>
      <c r="E102" s="11">
        <f t="shared" si="8"/>
        <v>800.0676089388049</v>
      </c>
    </row>
    <row r="103" spans="1:5" ht="12.75">
      <c r="A103" s="9">
        <f t="shared" si="12"/>
        <v>97</v>
      </c>
      <c r="B103" s="10">
        <f>D102*$D$3/100-IF(Monetization!$Q$13=$A103,Monetization!$O$10*$D$3/100,0)</f>
        <v>0.0003599006799430767</v>
      </c>
      <c r="C103" s="10">
        <f t="shared" si="13"/>
        <v>88.89676089388043</v>
      </c>
      <c r="D103" s="10">
        <f t="shared" si="14"/>
        <v>0.00323910611948769</v>
      </c>
      <c r="E103" s="11">
        <f t="shared" si="8"/>
        <v>800.0708480449244</v>
      </c>
    </row>
    <row r="104" spans="1:5" ht="12.75">
      <c r="A104" s="9">
        <f t="shared" si="12"/>
        <v>98</v>
      </c>
      <c r="B104" s="10">
        <f>D103*$D$3/100-IF(Monetization!$Q$13=$A104,Monetization!$O$10*$D$3/100,0)</f>
        <v>0.00032391061194876896</v>
      </c>
      <c r="C104" s="10">
        <f t="shared" si="13"/>
        <v>88.89708480449238</v>
      </c>
      <c r="D104" s="10">
        <f t="shared" si="14"/>
        <v>0.0029151955075389204</v>
      </c>
      <c r="E104" s="11">
        <f>E103+D104</f>
        <v>800.073763240432</v>
      </c>
    </row>
    <row r="105" spans="1:5" ht="12.75">
      <c r="A105" s="9">
        <f t="shared" si="12"/>
        <v>99</v>
      </c>
      <c r="B105" s="10">
        <f>D104*$D$3/100-IF(Monetization!$Q$13=$A105,Monetization!$O$10*$D$3/100,0)</f>
        <v>0.000291519550753892</v>
      </c>
      <c r="C105" s="10">
        <f t="shared" si="13"/>
        <v>88.89737632404314</v>
      </c>
      <c r="D105" s="10">
        <f t="shared" si="14"/>
        <v>0.0026236759567850277</v>
      </c>
      <c r="E105" s="11">
        <f>E104+D105</f>
        <v>800.0763869163887</v>
      </c>
    </row>
    <row r="106" spans="1:5" ht="12.75">
      <c r="A106" s="9">
        <f t="shared" si="12"/>
        <v>100</v>
      </c>
      <c r="B106" s="10">
        <f>D105*$D$3/100-IF(Monetization!$Q$13=$A106,Monetization!$O$10*$D$3/100,0)</f>
        <v>0.0002623675956785028</v>
      </c>
      <c r="C106" s="10">
        <f t="shared" si="13"/>
        <v>88.89763869163882</v>
      </c>
      <c r="D106" s="10">
        <f t="shared" si="14"/>
        <v>0.002361308361106525</v>
      </c>
      <c r="E106" s="11">
        <f>E105+D106</f>
        <v>800.0787482247498</v>
      </c>
    </row>
    <row r="107" spans="1:5" ht="12.75">
      <c r="A107" s="9">
        <f aca="true" t="shared" si="15" ref="A107:A170">A106+1</f>
        <v>101</v>
      </c>
      <c r="B107" s="10">
        <f>D106*$D$3/100-IF(Monetization!$Q$13=$A107,Monetization!$O$10*$D$3/100,0)</f>
        <v>0.00023613083611065248</v>
      </c>
      <c r="C107" s="10">
        <f aca="true" t="shared" si="16" ref="C107:C170">C106+B107</f>
        <v>88.89787482247493</v>
      </c>
      <c r="D107" s="10">
        <f aca="true" t="shared" si="17" ref="D107:D170">B107/$D$3*100-B107</f>
        <v>0.002125177524995872</v>
      </c>
      <c r="E107" s="11">
        <f aca="true" t="shared" si="18" ref="E107:E170">E106+D107</f>
        <v>800.0808734022748</v>
      </c>
    </row>
    <row r="108" spans="1:5" ht="12.75">
      <c r="A108" s="9">
        <f t="shared" si="15"/>
        <v>102</v>
      </c>
      <c r="B108" s="10">
        <f>D107*$D$3/100-IF(Monetization!$Q$13=$A108,Monetization!$O$10*$D$3/100,0)</f>
        <v>0.0002125177524995872</v>
      </c>
      <c r="C108" s="10">
        <f t="shared" si="16"/>
        <v>88.89808734022743</v>
      </c>
      <c r="D108" s="10">
        <f t="shared" si="17"/>
        <v>0.001912659772496285</v>
      </c>
      <c r="E108" s="11">
        <f t="shared" si="18"/>
        <v>800.0827860620474</v>
      </c>
    </row>
    <row r="109" spans="1:5" ht="12.75">
      <c r="A109" s="9">
        <f t="shared" si="15"/>
        <v>103</v>
      </c>
      <c r="B109" s="10">
        <f>D108*$D$3/100-IF(Monetization!$Q$13=$A109,Monetization!$O$10*$D$3/100,0)</f>
        <v>0.00019126597724962848</v>
      </c>
      <c r="C109" s="10">
        <f t="shared" si="16"/>
        <v>88.89827860620468</v>
      </c>
      <c r="D109" s="10">
        <f t="shared" si="17"/>
        <v>0.0017213937952466562</v>
      </c>
      <c r="E109" s="11">
        <f t="shared" si="18"/>
        <v>800.0845074558426</v>
      </c>
    </row>
    <row r="110" spans="1:5" ht="12.75">
      <c r="A110" s="9">
        <f t="shared" si="15"/>
        <v>104</v>
      </c>
      <c r="B110" s="10">
        <f>D109*$D$3/100-IF(Monetization!$Q$13=$A110,Monetization!$O$10*$D$3/100,0)</f>
        <v>0.00017213937952466563</v>
      </c>
      <c r="C110" s="10">
        <f t="shared" si="16"/>
        <v>88.89845074558421</v>
      </c>
      <c r="D110" s="10">
        <f t="shared" si="17"/>
        <v>0.0015492544157219906</v>
      </c>
      <c r="E110" s="11">
        <f t="shared" si="18"/>
        <v>800.0860567102584</v>
      </c>
    </row>
    <row r="111" spans="1:5" ht="12.75">
      <c r="A111" s="9">
        <f t="shared" si="15"/>
        <v>105</v>
      </c>
      <c r="B111" s="10">
        <f>D110*$D$3/100-IF(Monetization!$Q$13=$A111,Monetization!$O$10*$D$3/100,0)</f>
        <v>0.00015492544157219906</v>
      </c>
      <c r="C111" s="10">
        <f t="shared" si="16"/>
        <v>88.89860567102579</v>
      </c>
      <c r="D111" s="10">
        <f t="shared" si="17"/>
        <v>0.0013943289741497917</v>
      </c>
      <c r="E111" s="11">
        <f t="shared" si="18"/>
        <v>800.0874510392325</v>
      </c>
    </row>
    <row r="112" spans="1:5" ht="12.75">
      <c r="A112" s="9">
        <f t="shared" si="15"/>
        <v>106</v>
      </c>
      <c r="B112" s="10">
        <f>D111*$D$3/100-IF(Monetization!$Q$13=$A112,Monetization!$O$10*$D$3/100,0)</f>
        <v>0.00013943289741497915</v>
      </c>
      <c r="C112" s="10">
        <f t="shared" si="16"/>
        <v>88.8987451039232</v>
      </c>
      <c r="D112" s="10">
        <f t="shared" si="17"/>
        <v>0.0012548960767348122</v>
      </c>
      <c r="E112" s="11">
        <f t="shared" si="18"/>
        <v>800.0887059353092</v>
      </c>
    </row>
    <row r="113" spans="1:5" ht="12.75">
      <c r="A113" s="9">
        <f t="shared" si="15"/>
        <v>107</v>
      </c>
      <c r="B113" s="10">
        <f>D112*$D$3/100-IF(Monetization!$Q$13=$A113,Monetization!$O$10*$D$3/100,0)</f>
        <v>0.00012548960767348123</v>
      </c>
      <c r="C113" s="10">
        <f t="shared" si="16"/>
        <v>88.89887059353087</v>
      </c>
      <c r="D113" s="10">
        <f t="shared" si="17"/>
        <v>0.001129406469061331</v>
      </c>
      <c r="E113" s="11">
        <f t="shared" si="18"/>
        <v>800.0898353417783</v>
      </c>
    </row>
    <row r="114" spans="1:5" ht="12.75">
      <c r="A114" s="9">
        <f t="shared" si="15"/>
        <v>108</v>
      </c>
      <c r="B114" s="10">
        <f>D113*$D$3/100-IF(Monetization!$Q$13=$A114,Monetization!$O$10*$D$3/100,0)</f>
        <v>0.00011294064690613309</v>
      </c>
      <c r="C114" s="10">
        <f t="shared" si="16"/>
        <v>88.89898353417777</v>
      </c>
      <c r="D114" s="10">
        <f t="shared" si="17"/>
        <v>0.001016465822155198</v>
      </c>
      <c r="E114" s="11">
        <f t="shared" si="18"/>
        <v>800.0908518076005</v>
      </c>
    </row>
    <row r="115" spans="1:5" ht="12.75">
      <c r="A115" s="9">
        <f t="shared" si="15"/>
        <v>109</v>
      </c>
      <c r="B115" s="10">
        <f>D114*$D$3/100-IF(Monetization!$Q$13=$A115,Monetization!$O$10*$D$3/100,0)</f>
        <v>0.00010164658221551978</v>
      </c>
      <c r="C115" s="10">
        <f t="shared" si="16"/>
        <v>88.89908518075998</v>
      </c>
      <c r="D115" s="10">
        <f t="shared" si="17"/>
        <v>0.0009148192399396781</v>
      </c>
      <c r="E115" s="11">
        <f t="shared" si="18"/>
        <v>800.0917666268405</v>
      </c>
    </row>
    <row r="116" spans="1:5" ht="12.75">
      <c r="A116" s="9">
        <f t="shared" si="15"/>
        <v>110</v>
      </c>
      <c r="B116" s="10">
        <f>D115*$D$3/100-IF(Monetization!$Q$13=$A116,Monetization!$O$10*$D$3/100,0)</f>
        <v>9.14819239939678E-05</v>
      </c>
      <c r="C116" s="10">
        <f t="shared" si="16"/>
        <v>88.89917666268397</v>
      </c>
      <c r="D116" s="10">
        <f t="shared" si="17"/>
        <v>0.0008233373159457102</v>
      </c>
      <c r="E116" s="11">
        <f t="shared" si="18"/>
        <v>800.0925899641564</v>
      </c>
    </row>
    <row r="117" spans="1:5" ht="12.75">
      <c r="A117" s="9">
        <f t="shared" si="15"/>
        <v>111</v>
      </c>
      <c r="B117" s="10">
        <f>D116*$D$3/100-IF(Monetization!$Q$13=$A117,Monetization!$O$10*$D$3/100,0)</f>
        <v>8.233373159457103E-05</v>
      </c>
      <c r="C117" s="10">
        <f t="shared" si="16"/>
        <v>88.89925899641557</v>
      </c>
      <c r="D117" s="10">
        <f t="shared" si="17"/>
        <v>0.0007410035843511393</v>
      </c>
      <c r="E117" s="11">
        <f t="shared" si="18"/>
        <v>800.0933309677408</v>
      </c>
    </row>
    <row r="118" spans="1:5" ht="12.75">
      <c r="A118" s="9">
        <f t="shared" si="15"/>
        <v>112</v>
      </c>
      <c r="B118" s="10">
        <f>D117*$D$3/100-IF(Monetization!$Q$13=$A118,Monetization!$O$10*$D$3/100,0)</f>
        <v>7.410035843511392E-05</v>
      </c>
      <c r="C118" s="10">
        <f t="shared" si="16"/>
        <v>88.899333096774</v>
      </c>
      <c r="D118" s="10">
        <f t="shared" si="17"/>
        <v>0.0006669032259160252</v>
      </c>
      <c r="E118" s="11">
        <f t="shared" si="18"/>
        <v>800.0939978709667</v>
      </c>
    </row>
    <row r="119" spans="1:5" ht="12.75">
      <c r="A119" s="9">
        <f t="shared" si="15"/>
        <v>113</v>
      </c>
      <c r="B119" s="10">
        <f>D118*$D$3/100-IF(Monetization!$Q$13=$A119,Monetization!$O$10*$D$3/100,0)</f>
        <v>6.669032259160252E-05</v>
      </c>
      <c r="C119" s="10">
        <f t="shared" si="16"/>
        <v>88.8993997870966</v>
      </c>
      <c r="D119" s="10">
        <f t="shared" si="17"/>
        <v>0.0006002129033244227</v>
      </c>
      <c r="E119" s="11">
        <f t="shared" si="18"/>
        <v>800.0945980838701</v>
      </c>
    </row>
    <row r="120" spans="1:5" ht="12.75">
      <c r="A120" s="9">
        <f t="shared" si="15"/>
        <v>114</v>
      </c>
      <c r="B120" s="10">
        <f>D119*$D$3/100-IF(Monetization!$Q$13=$A120,Monetization!$O$10*$D$3/100,0)</f>
        <v>6.002129033244227E-05</v>
      </c>
      <c r="C120" s="10">
        <f t="shared" si="16"/>
        <v>88.89945980838694</v>
      </c>
      <c r="D120" s="10">
        <f t="shared" si="17"/>
        <v>0.0005401916129919804</v>
      </c>
      <c r="E120" s="11">
        <f t="shared" si="18"/>
        <v>800.0951382754831</v>
      </c>
    </row>
    <row r="121" spans="1:5" ht="12.75">
      <c r="A121" s="9">
        <f t="shared" si="15"/>
        <v>115</v>
      </c>
      <c r="B121" s="10">
        <f>D120*$D$3/100-IF(Monetization!$Q$13=$A121,Monetization!$O$10*$D$3/100,0)</f>
        <v>5.401916129919804E-05</v>
      </c>
      <c r="C121" s="10">
        <f t="shared" si="16"/>
        <v>88.89951382754823</v>
      </c>
      <c r="D121" s="10">
        <f t="shared" si="17"/>
        <v>0.00048617245169278235</v>
      </c>
      <c r="E121" s="11">
        <f t="shared" si="18"/>
        <v>800.0956244479348</v>
      </c>
    </row>
    <row r="122" spans="1:5" ht="12.75">
      <c r="A122" s="9">
        <f t="shared" si="15"/>
        <v>116</v>
      </c>
      <c r="B122" s="10">
        <f>D121*$D$3/100-IF(Monetization!$Q$13=$A122,Monetization!$O$10*$D$3/100,0)</f>
        <v>4.861724516927823E-05</v>
      </c>
      <c r="C122" s="10">
        <f t="shared" si="16"/>
        <v>88.8995624447934</v>
      </c>
      <c r="D122" s="10">
        <f t="shared" si="17"/>
        <v>0.0004375552065235041</v>
      </c>
      <c r="E122" s="11">
        <f t="shared" si="18"/>
        <v>800.0960620031414</v>
      </c>
    </row>
    <row r="123" spans="1:5" ht="12.75">
      <c r="A123" s="9">
        <f t="shared" si="15"/>
        <v>117</v>
      </c>
      <c r="B123" s="10">
        <f>D122*$D$3/100-IF(Monetization!$Q$13=$A123,Monetization!$O$10*$D$3/100,0)</f>
        <v>4.3755520652350406E-05</v>
      </c>
      <c r="C123" s="10">
        <f t="shared" si="16"/>
        <v>88.89960620031405</v>
      </c>
      <c r="D123" s="10">
        <f t="shared" si="17"/>
        <v>0.00039379968587115367</v>
      </c>
      <c r="E123" s="11">
        <f t="shared" si="18"/>
        <v>800.0964558028272</v>
      </c>
    </row>
    <row r="124" spans="1:5" ht="12.75">
      <c r="A124" s="9">
        <f t="shared" si="15"/>
        <v>118</v>
      </c>
      <c r="B124" s="10">
        <f>D123*$D$3/100-IF(Monetization!$Q$13=$A124,Monetization!$O$10*$D$3/100,0)</f>
        <v>3.937996858711537E-05</v>
      </c>
      <c r="C124" s="10">
        <f t="shared" si="16"/>
        <v>88.89964558028264</v>
      </c>
      <c r="D124" s="10">
        <f t="shared" si="17"/>
        <v>0.00035441971728403834</v>
      </c>
      <c r="E124" s="11">
        <f t="shared" si="18"/>
        <v>800.0968102225445</v>
      </c>
    </row>
    <row r="125" spans="1:5" ht="12.75">
      <c r="A125" s="9">
        <f t="shared" si="15"/>
        <v>119</v>
      </c>
      <c r="B125" s="10">
        <f>D124*$D$3/100-IF(Monetization!$Q$13=$A125,Monetization!$O$10*$D$3/100,0)</f>
        <v>3.544197172840383E-05</v>
      </c>
      <c r="C125" s="10">
        <f t="shared" si="16"/>
        <v>88.89968102225437</v>
      </c>
      <c r="D125" s="10">
        <f t="shared" si="17"/>
        <v>0.00031897774555563445</v>
      </c>
      <c r="E125" s="11">
        <f t="shared" si="18"/>
        <v>800.09712920029</v>
      </c>
    </row>
    <row r="126" spans="1:5" ht="12.75">
      <c r="A126" s="9">
        <f t="shared" si="15"/>
        <v>120</v>
      </c>
      <c r="B126" s="10">
        <f>D125*$D$3/100-IF(Monetization!$Q$13=$A126,Monetization!$O$10*$D$3/100,0)</f>
        <v>3.189777455556344E-05</v>
      </c>
      <c r="C126" s="10">
        <f t="shared" si="16"/>
        <v>88.89971292002893</v>
      </c>
      <c r="D126" s="10">
        <f t="shared" si="17"/>
        <v>0.000287079971000071</v>
      </c>
      <c r="E126" s="11">
        <f t="shared" si="18"/>
        <v>800.0974162802611</v>
      </c>
    </row>
    <row r="127" spans="1:5" ht="12.75">
      <c r="A127" s="9">
        <f t="shared" si="15"/>
        <v>121</v>
      </c>
      <c r="B127" s="10">
        <f>D126*$D$3/100-IF(Monetization!$Q$13=$A127,Monetization!$O$10*$D$3/100,0)</f>
        <v>2.8707997100007105E-05</v>
      </c>
      <c r="C127" s="10">
        <f t="shared" si="16"/>
        <v>88.89974162802604</v>
      </c>
      <c r="D127" s="10">
        <f t="shared" si="17"/>
        <v>0.0002583719739000639</v>
      </c>
      <c r="E127" s="11">
        <f t="shared" si="18"/>
        <v>800.097674652235</v>
      </c>
    </row>
    <row r="128" spans="1:5" ht="12.75">
      <c r="A128" s="9">
        <f t="shared" si="15"/>
        <v>122</v>
      </c>
      <c r="B128" s="10">
        <f>D127*$D$3/100-IF(Monetization!$Q$13=$A128,Monetization!$O$10*$D$3/100,0)</f>
        <v>2.5837197390006392E-05</v>
      </c>
      <c r="C128" s="10">
        <f t="shared" si="16"/>
        <v>88.89976746522342</v>
      </c>
      <c r="D128" s="10">
        <f t="shared" si="17"/>
        <v>0.00023253477651005751</v>
      </c>
      <c r="E128" s="11">
        <f t="shared" si="18"/>
        <v>800.0979071870115</v>
      </c>
    </row>
    <row r="129" spans="1:5" ht="12.75">
      <c r="A129" s="9">
        <f t="shared" si="15"/>
        <v>123</v>
      </c>
      <c r="B129" s="10">
        <f>D128*$D$3/100-IF(Monetization!$Q$13=$A129,Monetization!$O$10*$D$3/100,0)</f>
        <v>2.325347765100575E-05</v>
      </c>
      <c r="C129" s="10">
        <f t="shared" si="16"/>
        <v>88.89979071870107</v>
      </c>
      <c r="D129" s="10">
        <f t="shared" si="17"/>
        <v>0.00020928129885905173</v>
      </c>
      <c r="E129" s="11">
        <f t="shared" si="18"/>
        <v>800.0981164683104</v>
      </c>
    </row>
    <row r="130" spans="1:5" ht="12.75">
      <c r="A130" s="9">
        <f t="shared" si="15"/>
        <v>124</v>
      </c>
      <c r="B130" s="10">
        <f>D129*$D$3/100-IF(Monetization!$Q$13=$A130,Monetization!$O$10*$D$3/100,0)</f>
        <v>2.092812988590517E-05</v>
      </c>
      <c r="C130" s="10">
        <f t="shared" si="16"/>
        <v>88.89981164683095</v>
      </c>
      <c r="D130" s="10">
        <f t="shared" si="17"/>
        <v>0.0001883531689731465</v>
      </c>
      <c r="E130" s="11">
        <f t="shared" si="18"/>
        <v>800.0983048214794</v>
      </c>
    </row>
    <row r="131" spans="1:5" ht="12.75">
      <c r="A131" s="9">
        <f t="shared" si="15"/>
        <v>125</v>
      </c>
      <c r="B131" s="10">
        <f>D130*$D$3/100-IF(Monetization!$Q$13=$A131,Monetization!$O$10*$D$3/100,0)</f>
        <v>1.883531689731465E-05</v>
      </c>
      <c r="C131" s="10">
        <f t="shared" si="16"/>
        <v>88.89983048214785</v>
      </c>
      <c r="D131" s="10">
        <f t="shared" si="17"/>
        <v>0.00016951785207583185</v>
      </c>
      <c r="E131" s="11">
        <f t="shared" si="18"/>
        <v>800.0984743393315</v>
      </c>
    </row>
    <row r="132" spans="1:5" ht="12.75">
      <c r="A132" s="9">
        <f t="shared" si="15"/>
        <v>126</v>
      </c>
      <c r="B132" s="10">
        <f>D131*$D$3/100-IF(Monetization!$Q$13=$A132,Monetization!$O$10*$D$3/100,0)</f>
        <v>1.6951785207583186E-05</v>
      </c>
      <c r="C132" s="10">
        <f t="shared" si="16"/>
        <v>88.89984743393306</v>
      </c>
      <c r="D132" s="10">
        <f t="shared" si="17"/>
        <v>0.00015256606686824868</v>
      </c>
      <c r="E132" s="11">
        <f t="shared" si="18"/>
        <v>800.0986269053983</v>
      </c>
    </row>
    <row r="133" spans="1:5" ht="12.75">
      <c r="A133" s="9">
        <f t="shared" si="15"/>
        <v>127</v>
      </c>
      <c r="B133" s="10">
        <f>D132*$D$3/100-IF(Monetization!$Q$13=$A133,Monetization!$O$10*$D$3/100,0)</f>
        <v>1.5256606686824868E-05</v>
      </c>
      <c r="C133" s="10">
        <f t="shared" si="16"/>
        <v>88.89986269053975</v>
      </c>
      <c r="D133" s="10">
        <f t="shared" si="17"/>
        <v>0.00013730946018142382</v>
      </c>
      <c r="E133" s="11">
        <f t="shared" si="18"/>
        <v>800.0987642148585</v>
      </c>
    </row>
    <row r="134" spans="1:5" ht="12.75">
      <c r="A134" s="9">
        <f t="shared" si="15"/>
        <v>128</v>
      </c>
      <c r="B134" s="10">
        <f>D133*$D$3/100-IF(Monetization!$Q$13=$A134,Monetization!$O$10*$D$3/100,0)</f>
        <v>1.3730946018142382E-05</v>
      </c>
      <c r="C134" s="10">
        <f t="shared" si="16"/>
        <v>88.89987642148577</v>
      </c>
      <c r="D134" s="10">
        <f t="shared" si="17"/>
        <v>0.00012357851416328145</v>
      </c>
      <c r="E134" s="11">
        <f t="shared" si="18"/>
        <v>800.0988877933727</v>
      </c>
    </row>
    <row r="135" spans="1:5" ht="12.75">
      <c r="A135" s="9">
        <f t="shared" si="15"/>
        <v>129</v>
      </c>
      <c r="B135" s="10">
        <f>D134*$D$3/100-IF(Monetization!$Q$13=$A135,Monetization!$O$10*$D$3/100,0)</f>
        <v>1.2357851416328145E-05</v>
      </c>
      <c r="C135" s="10">
        <f t="shared" si="16"/>
        <v>88.89988877933719</v>
      </c>
      <c r="D135" s="10">
        <f t="shared" si="17"/>
        <v>0.0001112206627469533</v>
      </c>
      <c r="E135" s="11">
        <f t="shared" si="18"/>
        <v>800.0989990140355</v>
      </c>
    </row>
    <row r="136" spans="1:5" ht="12.75">
      <c r="A136" s="9">
        <f t="shared" si="15"/>
        <v>130</v>
      </c>
      <c r="B136" s="10">
        <f>D135*$D$3/100-IF(Monetization!$Q$13=$A136,Monetization!$O$10*$D$3/100,0)</f>
        <v>1.1122066274695331E-05</v>
      </c>
      <c r="C136" s="10">
        <f t="shared" si="16"/>
        <v>88.89989990140346</v>
      </c>
      <c r="D136" s="10">
        <f t="shared" si="17"/>
        <v>0.00010009859647225798</v>
      </c>
      <c r="E136" s="11">
        <f t="shared" si="18"/>
        <v>800.099099112632</v>
      </c>
    </row>
    <row r="137" spans="1:5" ht="12.75">
      <c r="A137" s="9">
        <f t="shared" si="15"/>
        <v>131</v>
      </c>
      <c r="B137" s="10">
        <f>D136*$D$3/100-IF(Monetization!$Q$13=$A137,Monetization!$O$10*$D$3/100,0)</f>
        <v>1.0009859647225798E-05</v>
      </c>
      <c r="C137" s="10">
        <f t="shared" si="16"/>
        <v>88.89990991126311</v>
      </c>
      <c r="D137" s="10">
        <f t="shared" si="17"/>
        <v>9.008873682503219E-05</v>
      </c>
      <c r="E137" s="11">
        <f t="shared" si="18"/>
        <v>800.0991892013687</v>
      </c>
    </row>
    <row r="138" spans="1:5" ht="12.75">
      <c r="A138" s="9">
        <f t="shared" si="15"/>
        <v>132</v>
      </c>
      <c r="B138" s="10">
        <f>D137*$D$3/100-IF(Monetization!$Q$13=$A138,Monetization!$O$10*$D$3/100,0)</f>
        <v>9.008873682503218E-06</v>
      </c>
      <c r="C138" s="10">
        <f t="shared" si="16"/>
        <v>88.89991892013678</v>
      </c>
      <c r="D138" s="10">
        <f t="shared" si="17"/>
        <v>8.107986314252895E-05</v>
      </c>
      <c r="E138" s="11">
        <f t="shared" si="18"/>
        <v>800.0992702812318</v>
      </c>
    </row>
    <row r="139" spans="1:5" ht="12.75">
      <c r="A139" s="9">
        <f t="shared" si="15"/>
        <v>133</v>
      </c>
      <c r="B139" s="10">
        <f>D138*$D$3/100-IF(Monetization!$Q$13=$A139,Monetization!$O$10*$D$3/100,0)</f>
        <v>8.107986314252895E-06</v>
      </c>
      <c r="C139" s="10">
        <f t="shared" si="16"/>
        <v>88.8999270281231</v>
      </c>
      <c r="D139" s="10">
        <f t="shared" si="17"/>
        <v>7.297187682827606E-05</v>
      </c>
      <c r="E139" s="11">
        <f t="shared" si="18"/>
        <v>800.0993432531087</v>
      </c>
    </row>
    <row r="140" spans="1:5" ht="12.75">
      <c r="A140" s="9">
        <f t="shared" si="15"/>
        <v>134</v>
      </c>
      <c r="B140" s="10">
        <f>D139*$D$3/100-IF(Monetization!$Q$13=$A140,Monetization!$O$10*$D$3/100,0)</f>
        <v>7.2971876828276064E-06</v>
      </c>
      <c r="C140" s="10">
        <f t="shared" si="16"/>
        <v>88.89993432531078</v>
      </c>
      <c r="D140" s="10">
        <f t="shared" si="17"/>
        <v>6.567468914544845E-05</v>
      </c>
      <c r="E140" s="11">
        <f t="shared" si="18"/>
        <v>800.0994089277979</v>
      </c>
    </row>
    <row r="141" spans="1:5" ht="12.75">
      <c r="A141" s="9">
        <f t="shared" si="15"/>
        <v>135</v>
      </c>
      <c r="B141" s="10">
        <f>D140*$D$3/100-IF(Monetization!$Q$13=$A141,Monetization!$O$10*$D$3/100,0)</f>
        <v>6.5674689145448445E-06</v>
      </c>
      <c r="C141" s="10">
        <f t="shared" si="16"/>
        <v>88.8999408927797</v>
      </c>
      <c r="D141" s="10">
        <f t="shared" si="17"/>
        <v>5.910722023090361E-05</v>
      </c>
      <c r="E141" s="11">
        <f t="shared" si="18"/>
        <v>800.099468035018</v>
      </c>
    </row>
    <row r="142" spans="1:5" ht="12.75">
      <c r="A142" s="9">
        <f t="shared" si="15"/>
        <v>136</v>
      </c>
      <c r="B142" s="10">
        <f>D141*$D$3/100-IF(Monetization!$Q$13=$A142,Monetization!$O$10*$D$3/100,0)</f>
        <v>5.910722023090361E-06</v>
      </c>
      <c r="C142" s="10">
        <f t="shared" si="16"/>
        <v>88.89994680350172</v>
      </c>
      <c r="D142" s="10">
        <f t="shared" si="17"/>
        <v>5.3196498207813244E-05</v>
      </c>
      <c r="E142" s="11">
        <f t="shared" si="18"/>
        <v>800.0995212315163</v>
      </c>
    </row>
    <row r="143" spans="1:5" ht="12.75">
      <c r="A143" s="9">
        <f t="shared" si="15"/>
        <v>137</v>
      </c>
      <c r="B143" s="10">
        <f>D142*$D$3/100-IF(Monetization!$Q$13=$A143,Monetization!$O$10*$D$3/100,0)</f>
        <v>5.319649820781325E-06</v>
      </c>
      <c r="C143" s="10">
        <f t="shared" si="16"/>
        <v>88.89995212315154</v>
      </c>
      <c r="D143" s="10">
        <f t="shared" si="17"/>
        <v>4.7876848387031925E-05</v>
      </c>
      <c r="E143" s="11">
        <f t="shared" si="18"/>
        <v>800.0995691083647</v>
      </c>
    </row>
    <row r="144" spans="1:5" ht="12.75">
      <c r="A144" s="9">
        <f t="shared" si="15"/>
        <v>138</v>
      </c>
      <c r="B144" s="10">
        <f>D143*$D$3/100-IF(Monetization!$Q$13=$A144,Monetization!$O$10*$D$3/100,0)</f>
        <v>4.7876848387031925E-06</v>
      </c>
      <c r="C144" s="10">
        <f t="shared" si="16"/>
        <v>88.89995691083638</v>
      </c>
      <c r="D144" s="10">
        <f t="shared" si="17"/>
        <v>4.3089163548328736E-05</v>
      </c>
      <c r="E144" s="11">
        <f t="shared" si="18"/>
        <v>800.0996121975282</v>
      </c>
    </row>
    <row r="145" spans="1:5" ht="12.75">
      <c r="A145" s="9">
        <f t="shared" si="15"/>
        <v>139</v>
      </c>
      <c r="B145" s="10">
        <f>D144*$D$3/100-IF(Monetization!$Q$13=$A145,Monetization!$O$10*$D$3/100,0)</f>
        <v>4.308916354832874E-06</v>
      </c>
      <c r="C145" s="10">
        <f t="shared" si="16"/>
        <v>88.89996121975274</v>
      </c>
      <c r="D145" s="10">
        <f t="shared" si="17"/>
        <v>3.878024719349587E-05</v>
      </c>
      <c r="E145" s="11">
        <f t="shared" si="18"/>
        <v>800.0996509777755</v>
      </c>
    </row>
    <row r="146" spans="1:5" ht="12.75">
      <c r="A146" s="9">
        <f t="shared" si="15"/>
        <v>140</v>
      </c>
      <c r="B146" s="10">
        <f>D145*$D$3/100-IF(Monetization!$Q$13=$A146,Monetization!$O$10*$D$3/100,0)</f>
        <v>3.878024719349587E-06</v>
      </c>
      <c r="C146" s="10">
        <f t="shared" si="16"/>
        <v>88.89996509777745</v>
      </c>
      <c r="D146" s="10">
        <f t="shared" si="17"/>
        <v>3.490222247414628E-05</v>
      </c>
      <c r="E146" s="11">
        <f t="shared" si="18"/>
        <v>800.099685879998</v>
      </c>
    </row>
    <row r="147" spans="1:5" ht="12.75">
      <c r="A147" s="9">
        <f t="shared" si="15"/>
        <v>141</v>
      </c>
      <c r="B147" s="10">
        <f>D146*$D$3/100-IF(Monetization!$Q$13=$A147,Monetization!$O$10*$D$3/100,0)</f>
        <v>3.490222247414628E-06</v>
      </c>
      <c r="C147" s="10">
        <f t="shared" si="16"/>
        <v>88.8999685879997</v>
      </c>
      <c r="D147" s="10">
        <f t="shared" si="17"/>
        <v>3.1412000226731655E-05</v>
      </c>
      <c r="E147" s="11">
        <f t="shared" si="18"/>
        <v>800.0997172919982</v>
      </c>
    </row>
    <row r="148" spans="1:5" ht="12.75">
      <c r="A148" s="9">
        <f t="shared" si="15"/>
        <v>142</v>
      </c>
      <c r="B148" s="10">
        <f>D147*$D$3/100-IF(Monetization!$Q$13=$A148,Monetization!$O$10*$D$3/100,0)</f>
        <v>3.1412000226731654E-06</v>
      </c>
      <c r="C148" s="10">
        <f t="shared" si="16"/>
        <v>88.89997172919972</v>
      </c>
      <c r="D148" s="10">
        <f t="shared" si="17"/>
        <v>2.827080020405849E-05</v>
      </c>
      <c r="E148" s="11">
        <f t="shared" si="18"/>
        <v>800.0997455627984</v>
      </c>
    </row>
    <row r="149" spans="1:5" ht="12.75">
      <c r="A149" s="9">
        <f t="shared" si="15"/>
        <v>143</v>
      </c>
      <c r="B149" s="10">
        <f>D148*$D$3/100-IF(Monetization!$Q$13=$A149,Monetization!$O$10*$D$3/100,0)</f>
        <v>2.8270800204058494E-06</v>
      </c>
      <c r="C149" s="10">
        <f t="shared" si="16"/>
        <v>88.89997455627974</v>
      </c>
      <c r="D149" s="10">
        <f t="shared" si="17"/>
        <v>2.5443720183652643E-05</v>
      </c>
      <c r="E149" s="11">
        <f t="shared" si="18"/>
        <v>800.0997710065186</v>
      </c>
    </row>
    <row r="150" spans="1:5" ht="12.75">
      <c r="A150" s="9">
        <f t="shared" si="15"/>
        <v>144</v>
      </c>
      <c r="B150" s="10">
        <f>D149*$D$3/100-IF(Monetization!$Q$13=$A150,Monetization!$O$10*$D$3/100,0)</f>
        <v>2.5443720183652644E-06</v>
      </c>
      <c r="C150" s="10">
        <f t="shared" si="16"/>
        <v>88.89997710065177</v>
      </c>
      <c r="D150" s="10">
        <f t="shared" si="17"/>
        <v>2.289934816528738E-05</v>
      </c>
      <c r="E150" s="11">
        <f t="shared" si="18"/>
        <v>800.0997939058668</v>
      </c>
    </row>
    <row r="151" spans="1:5" ht="12.75">
      <c r="A151" s="9">
        <f t="shared" si="15"/>
        <v>145</v>
      </c>
      <c r="B151" s="10">
        <f>D150*$D$3/100-IF(Monetization!$Q$13=$A151,Monetization!$O$10*$D$3/100,0)</f>
        <v>2.2899348165287383E-06</v>
      </c>
      <c r="C151" s="10">
        <f t="shared" si="16"/>
        <v>88.89997939058658</v>
      </c>
      <c r="D151" s="10">
        <f t="shared" si="17"/>
        <v>2.0609413348758642E-05</v>
      </c>
      <c r="E151" s="11">
        <f t="shared" si="18"/>
        <v>800.0998145152802</v>
      </c>
    </row>
    <row r="152" spans="1:5" ht="12.75">
      <c r="A152" s="9">
        <f t="shared" si="15"/>
        <v>146</v>
      </c>
      <c r="B152" s="10">
        <f>D151*$D$3/100-IF(Monetization!$Q$13=$A152,Monetization!$O$10*$D$3/100,0)</f>
        <v>2.060941334875864E-06</v>
      </c>
      <c r="C152" s="10">
        <f t="shared" si="16"/>
        <v>88.89998145152792</v>
      </c>
      <c r="D152" s="10">
        <f t="shared" si="17"/>
        <v>1.854847201388278E-05</v>
      </c>
      <c r="E152" s="11">
        <f t="shared" si="18"/>
        <v>800.0998330637522</v>
      </c>
    </row>
    <row r="153" spans="1:5" ht="12.75">
      <c r="A153" s="9">
        <f t="shared" si="15"/>
        <v>147</v>
      </c>
      <c r="B153" s="10">
        <f>D152*$D$3/100-IF(Monetization!$Q$13=$A153,Monetization!$O$10*$D$3/100,0)</f>
        <v>1.8548472013882778E-06</v>
      </c>
      <c r="C153" s="10">
        <f t="shared" si="16"/>
        <v>88.89998330637512</v>
      </c>
      <c r="D153" s="10">
        <f t="shared" si="17"/>
        <v>1.6693624812494502E-05</v>
      </c>
      <c r="E153" s="11">
        <f t="shared" si="18"/>
        <v>800.099849757377</v>
      </c>
    </row>
    <row r="154" spans="1:5" ht="12.75">
      <c r="A154" s="9">
        <f t="shared" si="15"/>
        <v>148</v>
      </c>
      <c r="B154" s="10">
        <f>D153*$D$3/100-IF(Monetization!$Q$13=$A154,Monetization!$O$10*$D$3/100,0)</f>
        <v>1.6693624812494504E-06</v>
      </c>
      <c r="C154" s="10">
        <f t="shared" si="16"/>
        <v>88.8999849757376</v>
      </c>
      <c r="D154" s="10">
        <f t="shared" si="17"/>
        <v>1.5024262331245055E-05</v>
      </c>
      <c r="E154" s="11">
        <f t="shared" si="18"/>
        <v>800.0998647816393</v>
      </c>
    </row>
    <row r="155" spans="1:5" ht="12.75">
      <c r="A155" s="9">
        <f t="shared" si="15"/>
        <v>149</v>
      </c>
      <c r="B155" s="10">
        <f>D154*$D$3/100-IF(Monetization!$Q$13=$A155,Monetization!$O$10*$D$3/100,0)</f>
        <v>1.5024262331245056E-06</v>
      </c>
      <c r="C155" s="10">
        <f t="shared" si="16"/>
        <v>88.89998647816383</v>
      </c>
      <c r="D155" s="10">
        <f t="shared" si="17"/>
        <v>1.352183609812055E-05</v>
      </c>
      <c r="E155" s="11">
        <f t="shared" si="18"/>
        <v>800.0998783034754</v>
      </c>
    </row>
    <row r="156" spans="1:5" ht="12.75">
      <c r="A156" s="9">
        <f t="shared" si="15"/>
        <v>150</v>
      </c>
      <c r="B156" s="10">
        <f>D155*$D$3/100-IF(Monetization!$Q$13=$A156,Monetization!$O$10*$D$3/100,0)</f>
        <v>1.352183609812055E-06</v>
      </c>
      <c r="C156" s="10">
        <f t="shared" si="16"/>
        <v>88.89998783034744</v>
      </c>
      <c r="D156" s="10">
        <f t="shared" si="17"/>
        <v>1.2169652488308495E-05</v>
      </c>
      <c r="E156" s="11">
        <f t="shared" si="18"/>
        <v>800.0998904731279</v>
      </c>
    </row>
    <row r="157" spans="1:5" ht="12.75">
      <c r="A157" s="9">
        <f t="shared" si="15"/>
        <v>151</v>
      </c>
      <c r="B157" s="10">
        <f>D156*$D$3/100-IF(Monetization!$Q$13=$A157,Monetization!$O$10*$D$3/100,0)</f>
        <v>1.2169652488308496E-06</v>
      </c>
      <c r="C157" s="10">
        <f t="shared" si="16"/>
        <v>88.89998904731269</v>
      </c>
      <c r="D157" s="10">
        <f t="shared" si="17"/>
        <v>1.0952687239477648E-05</v>
      </c>
      <c r="E157" s="11">
        <f t="shared" si="18"/>
        <v>800.0999014258151</v>
      </c>
    </row>
    <row r="158" spans="1:5" ht="12.75">
      <c r="A158" s="9">
        <f t="shared" si="15"/>
        <v>152</v>
      </c>
      <c r="B158" s="10">
        <f>D157*$D$3/100-IF(Monetization!$Q$13=$A158,Monetization!$O$10*$D$3/100,0)</f>
        <v>1.0952687239477647E-06</v>
      </c>
      <c r="C158" s="10">
        <f t="shared" si="16"/>
        <v>88.89999014258142</v>
      </c>
      <c r="D158" s="10">
        <f t="shared" si="17"/>
        <v>9.857418515529882E-06</v>
      </c>
      <c r="E158" s="11">
        <f t="shared" si="18"/>
        <v>800.0999112832336</v>
      </c>
    </row>
    <row r="159" spans="1:5" ht="12.75">
      <c r="A159" s="9">
        <f t="shared" si="15"/>
        <v>153</v>
      </c>
      <c r="B159" s="10">
        <f>D158*$D$3/100-IF(Monetization!$Q$13=$A159,Monetization!$O$10*$D$3/100,0)</f>
        <v>9.857418515529882E-07</v>
      </c>
      <c r="C159" s="10">
        <f t="shared" si="16"/>
        <v>88.89999112832326</v>
      </c>
      <c r="D159" s="10">
        <f t="shared" si="17"/>
        <v>8.871676663976894E-06</v>
      </c>
      <c r="E159" s="11">
        <f t="shared" si="18"/>
        <v>800.0999201549103</v>
      </c>
    </row>
    <row r="160" spans="1:5" ht="12.75">
      <c r="A160" s="9">
        <f t="shared" si="15"/>
        <v>154</v>
      </c>
      <c r="B160" s="10">
        <f>D159*$D$3/100-IF(Monetization!$Q$13=$A160,Monetization!$O$10*$D$3/100,0)</f>
        <v>8.871676663976895E-07</v>
      </c>
      <c r="C160" s="10">
        <f t="shared" si="16"/>
        <v>88.89999201549094</v>
      </c>
      <c r="D160" s="10">
        <f t="shared" si="17"/>
        <v>7.984508997579204E-06</v>
      </c>
      <c r="E160" s="11">
        <f t="shared" si="18"/>
        <v>800.0999281394193</v>
      </c>
    </row>
    <row r="161" spans="1:5" ht="12.75">
      <c r="A161" s="9">
        <f t="shared" si="15"/>
        <v>155</v>
      </c>
      <c r="B161" s="10">
        <f>D160*$D$3/100-IF(Monetization!$Q$13=$A161,Monetization!$O$10*$D$3/100,0)</f>
        <v>7.984508997579204E-07</v>
      </c>
      <c r="C161" s="10">
        <f t="shared" si="16"/>
        <v>88.89999281394184</v>
      </c>
      <c r="D161" s="10">
        <f t="shared" si="17"/>
        <v>7.186058097821283E-06</v>
      </c>
      <c r="E161" s="11">
        <f t="shared" si="18"/>
        <v>800.0999353254773</v>
      </c>
    </row>
    <row r="162" spans="1:5" ht="12.75">
      <c r="A162" s="9">
        <f t="shared" si="15"/>
        <v>156</v>
      </c>
      <c r="B162" s="10">
        <f>D161*$D$3/100-IF(Monetization!$Q$13=$A162,Monetization!$O$10*$D$3/100,0)</f>
        <v>7.186058097821282E-07</v>
      </c>
      <c r="C162" s="10">
        <f t="shared" si="16"/>
        <v>88.89999353254764</v>
      </c>
      <c r="D162" s="10">
        <f t="shared" si="17"/>
        <v>6.467452288039153E-06</v>
      </c>
      <c r="E162" s="11">
        <f t="shared" si="18"/>
        <v>800.0999417929296</v>
      </c>
    </row>
    <row r="163" spans="1:5" ht="12.75">
      <c r="A163" s="9">
        <f t="shared" si="15"/>
        <v>157</v>
      </c>
      <c r="B163" s="10">
        <f>D162*$D$3/100-IF(Monetization!$Q$13=$A163,Monetization!$O$10*$D$3/100,0)</f>
        <v>6.467452288039153E-07</v>
      </c>
      <c r="C163" s="10">
        <f t="shared" si="16"/>
        <v>88.89999417929288</v>
      </c>
      <c r="D163" s="10">
        <f t="shared" si="17"/>
        <v>5.8207070592352375E-06</v>
      </c>
      <c r="E163" s="11">
        <f t="shared" si="18"/>
        <v>800.0999476136367</v>
      </c>
    </row>
    <row r="164" spans="1:5" ht="12.75">
      <c r="A164" s="9">
        <f t="shared" si="15"/>
        <v>158</v>
      </c>
      <c r="B164" s="10">
        <f>D163*$D$3/100-IF(Monetization!$Q$13=$A164,Monetization!$O$10*$D$3/100,0)</f>
        <v>5.820707059235238E-07</v>
      </c>
      <c r="C164" s="10">
        <f t="shared" si="16"/>
        <v>88.89999476136359</v>
      </c>
      <c r="D164" s="10">
        <f t="shared" si="17"/>
        <v>5.238636353311713E-06</v>
      </c>
      <c r="E164" s="11">
        <f t="shared" si="18"/>
        <v>800.0999528522731</v>
      </c>
    </row>
    <row r="165" spans="1:5" ht="12.75">
      <c r="A165" s="9">
        <f t="shared" si="15"/>
        <v>159</v>
      </c>
      <c r="B165" s="10">
        <f>D164*$D$3/100-IF(Monetization!$Q$13=$A165,Monetization!$O$10*$D$3/100,0)</f>
        <v>5.238636353311713E-07</v>
      </c>
      <c r="C165" s="10">
        <f t="shared" si="16"/>
        <v>88.89999528522722</v>
      </c>
      <c r="D165" s="10">
        <f t="shared" si="17"/>
        <v>4.714772717980542E-06</v>
      </c>
      <c r="E165" s="11">
        <f t="shared" si="18"/>
        <v>800.0999575670457</v>
      </c>
    </row>
    <row r="166" spans="1:5" ht="12.75">
      <c r="A166" s="9">
        <f t="shared" si="15"/>
        <v>160</v>
      </c>
      <c r="B166" s="10">
        <f>D165*$D$3/100-IF(Monetization!$Q$13=$A166,Monetization!$O$10*$D$3/100,0)</f>
        <v>4.7147727179805415E-07</v>
      </c>
      <c r="C166" s="10">
        <f t="shared" si="16"/>
        <v>88.8999957567045</v>
      </c>
      <c r="D166" s="10">
        <f t="shared" si="17"/>
        <v>4.243295446182488E-06</v>
      </c>
      <c r="E166" s="11">
        <f t="shared" si="18"/>
        <v>800.0999618103411</v>
      </c>
    </row>
    <row r="167" spans="1:5" ht="12.75">
      <c r="A167" s="9">
        <f t="shared" si="15"/>
        <v>161</v>
      </c>
      <c r="B167" s="10">
        <f>D166*$D$3/100-IF(Monetization!$Q$13=$A167,Monetization!$O$10*$D$3/100,0)</f>
        <v>4.2432954461824874E-07</v>
      </c>
      <c r="C167" s="10">
        <f t="shared" si="16"/>
        <v>88.89999618103404</v>
      </c>
      <c r="D167" s="10">
        <f t="shared" si="17"/>
        <v>3.818965901564239E-06</v>
      </c>
      <c r="E167" s="11">
        <f t="shared" si="18"/>
        <v>800.099965629307</v>
      </c>
    </row>
    <row r="168" spans="1:5" ht="12.75">
      <c r="A168" s="9">
        <f t="shared" si="15"/>
        <v>162</v>
      </c>
      <c r="B168" s="10">
        <f>D167*$D$3/100-IF(Monetization!$Q$13=$A168,Monetization!$O$10*$D$3/100,0)</f>
        <v>3.818965901564239E-07</v>
      </c>
      <c r="C168" s="10">
        <f t="shared" si="16"/>
        <v>88.89999656293062</v>
      </c>
      <c r="D168" s="10">
        <f t="shared" si="17"/>
        <v>3.4370693114078153E-06</v>
      </c>
      <c r="E168" s="11">
        <f t="shared" si="18"/>
        <v>800.0999690663763</v>
      </c>
    </row>
    <row r="169" spans="1:5" ht="12.75">
      <c r="A169" s="9">
        <f t="shared" si="15"/>
        <v>163</v>
      </c>
      <c r="B169" s="10">
        <f>D168*$D$3/100-IF(Monetization!$Q$13=$A169,Monetization!$O$10*$D$3/100,0)</f>
        <v>3.437069311407815E-07</v>
      </c>
      <c r="C169" s="10">
        <f t="shared" si="16"/>
        <v>88.89999690663755</v>
      </c>
      <c r="D169" s="10">
        <f t="shared" si="17"/>
        <v>3.0933623802670337E-06</v>
      </c>
      <c r="E169" s="11">
        <f t="shared" si="18"/>
        <v>800.0999721597386</v>
      </c>
    </row>
    <row r="170" spans="1:5" ht="12.75">
      <c r="A170" s="9">
        <f t="shared" si="15"/>
        <v>164</v>
      </c>
      <c r="B170" s="10">
        <f>D169*$D$3/100-IF(Monetization!$Q$13=$A170,Monetization!$O$10*$D$3/100,0)</f>
        <v>3.0933623802670335E-07</v>
      </c>
      <c r="C170" s="10">
        <f t="shared" si="16"/>
        <v>88.8999972159738</v>
      </c>
      <c r="D170" s="10">
        <f t="shared" si="17"/>
        <v>2.7840261422403305E-06</v>
      </c>
      <c r="E170" s="11">
        <f t="shared" si="18"/>
        <v>800.0999749437648</v>
      </c>
    </row>
    <row r="171" spans="1:5" ht="12.75">
      <c r="A171" s="9">
        <f aca="true" t="shared" si="19" ref="A171:A206">A170+1</f>
        <v>165</v>
      </c>
      <c r="B171" s="10">
        <f>D170*$D$3/100-IF(Monetization!$Q$13=$A171,Monetization!$O$10*$D$3/100,0)</f>
        <v>2.78402614224033E-07</v>
      </c>
      <c r="C171" s="10">
        <f aca="true" t="shared" si="20" ref="C171:C206">C170+B171</f>
        <v>88.89999749437641</v>
      </c>
      <c r="D171" s="10">
        <f aca="true" t="shared" si="21" ref="D171:D206">B171/$D$3*100-B171</f>
        <v>2.5056235280162973E-06</v>
      </c>
      <c r="E171" s="11">
        <f aca="true" t="shared" si="22" ref="E171:E206">E170+D171</f>
        <v>800.0999774493883</v>
      </c>
    </row>
    <row r="172" spans="1:5" ht="12.75">
      <c r="A172" s="9">
        <f t="shared" si="19"/>
        <v>166</v>
      </c>
      <c r="B172" s="10">
        <f>D171*$D$3/100-IF(Monetization!$Q$13=$A172,Monetization!$O$10*$D$3/100,0)</f>
        <v>2.505623528016297E-07</v>
      </c>
      <c r="C172" s="10">
        <f t="shared" si="20"/>
        <v>88.89999774493876</v>
      </c>
      <c r="D172" s="10">
        <f t="shared" si="21"/>
        <v>2.2550611752146675E-06</v>
      </c>
      <c r="E172" s="11">
        <f t="shared" si="22"/>
        <v>800.0999797044495</v>
      </c>
    </row>
    <row r="173" spans="1:5" ht="12.75">
      <c r="A173" s="9">
        <f t="shared" si="19"/>
        <v>167</v>
      </c>
      <c r="B173" s="10">
        <f>D172*$D$3/100-IF(Monetization!$Q$13=$A173,Monetization!$O$10*$D$3/100,0)</f>
        <v>2.2550611752146674E-07</v>
      </c>
      <c r="C173" s="10">
        <f t="shared" si="20"/>
        <v>88.89999797044487</v>
      </c>
      <c r="D173" s="10">
        <f t="shared" si="21"/>
        <v>2.0295550576932007E-06</v>
      </c>
      <c r="E173" s="11">
        <f t="shared" si="22"/>
        <v>800.0999817340046</v>
      </c>
    </row>
    <row r="174" spans="1:5" ht="12.75">
      <c r="A174" s="9">
        <f t="shared" si="19"/>
        <v>168</v>
      </c>
      <c r="B174" s="10">
        <f>D173*$D$3/100-IF(Monetization!$Q$13=$A174,Monetization!$O$10*$D$3/100,0)</f>
        <v>2.029555057693201E-07</v>
      </c>
      <c r="C174" s="10">
        <f t="shared" si="20"/>
        <v>88.89999817340038</v>
      </c>
      <c r="D174" s="10">
        <f t="shared" si="21"/>
        <v>1.8265995519238806E-06</v>
      </c>
      <c r="E174" s="11">
        <f t="shared" si="22"/>
        <v>800.0999835606042</v>
      </c>
    </row>
    <row r="175" spans="1:5" ht="12.75">
      <c r="A175" s="9">
        <f t="shared" si="19"/>
        <v>169</v>
      </c>
      <c r="B175" s="10">
        <f>D174*$D$3/100-IF(Monetization!$Q$13=$A175,Monetization!$O$10*$D$3/100,0)</f>
        <v>1.8265995519238807E-07</v>
      </c>
      <c r="C175" s="10">
        <f t="shared" si="20"/>
        <v>88.89999835606034</v>
      </c>
      <c r="D175" s="10">
        <f t="shared" si="21"/>
        <v>1.6439395967314927E-06</v>
      </c>
      <c r="E175" s="11">
        <f t="shared" si="22"/>
        <v>800.0999852045438</v>
      </c>
    </row>
    <row r="176" spans="1:5" ht="12.75">
      <c r="A176" s="9">
        <f t="shared" si="19"/>
        <v>170</v>
      </c>
      <c r="B176" s="10">
        <f>D175*$D$3/100-IF(Monetization!$Q$13=$A176,Monetization!$O$10*$D$3/100,0)</f>
        <v>1.6439395967314925E-07</v>
      </c>
      <c r="C176" s="10">
        <f t="shared" si="20"/>
        <v>88.89999852045429</v>
      </c>
      <c r="D176" s="10">
        <f t="shared" si="21"/>
        <v>1.4795456370583432E-06</v>
      </c>
      <c r="E176" s="11">
        <f t="shared" si="22"/>
        <v>800.0999866840895</v>
      </c>
    </row>
    <row r="177" spans="1:5" ht="12.75">
      <c r="A177" s="9">
        <f t="shared" si="19"/>
        <v>171</v>
      </c>
      <c r="B177" s="10">
        <f>D176*$D$3/100-IF(Monetization!$Q$13=$A177,Monetization!$O$10*$D$3/100,0)</f>
        <v>1.479545637058343E-07</v>
      </c>
      <c r="C177" s="10">
        <f t="shared" si="20"/>
        <v>88.89999866840886</v>
      </c>
      <c r="D177" s="10">
        <f t="shared" si="21"/>
        <v>1.3315910733525086E-06</v>
      </c>
      <c r="E177" s="11">
        <f t="shared" si="22"/>
        <v>800.0999880156805</v>
      </c>
    </row>
    <row r="178" spans="1:5" ht="12.75">
      <c r="A178" s="9">
        <f t="shared" si="19"/>
        <v>172</v>
      </c>
      <c r="B178" s="10">
        <f>D177*$D$3/100-IF(Monetization!$Q$13=$A178,Monetization!$O$10*$D$3/100,0)</f>
        <v>1.3315910733525088E-07</v>
      </c>
      <c r="C178" s="10">
        <f t="shared" si="20"/>
        <v>88.89999880156796</v>
      </c>
      <c r="D178" s="10">
        <f t="shared" si="21"/>
        <v>1.1984319660172578E-06</v>
      </c>
      <c r="E178" s="11">
        <f t="shared" si="22"/>
        <v>800.0999892141125</v>
      </c>
    </row>
    <row r="179" spans="1:5" ht="12.75">
      <c r="A179" s="9">
        <f t="shared" si="19"/>
        <v>173</v>
      </c>
      <c r="B179" s="10">
        <f>D178*$D$3/100-IF(Monetization!$Q$13=$A179,Monetization!$O$10*$D$3/100,0)</f>
        <v>1.198431966017258E-07</v>
      </c>
      <c r="C179" s="10">
        <f t="shared" si="20"/>
        <v>88.89999892141115</v>
      </c>
      <c r="D179" s="10">
        <f t="shared" si="21"/>
        <v>1.0785887694155323E-06</v>
      </c>
      <c r="E179" s="11">
        <f t="shared" si="22"/>
        <v>800.0999902927012</v>
      </c>
    </row>
    <row r="180" spans="1:5" ht="12.75">
      <c r="A180" s="9">
        <f t="shared" si="19"/>
        <v>174</v>
      </c>
      <c r="B180" s="10">
        <f>D179*$D$3/100-IF(Monetization!$Q$13=$A180,Monetization!$O$10*$D$3/100,0)</f>
        <v>1.0785887694155323E-07</v>
      </c>
      <c r="C180" s="10">
        <f t="shared" si="20"/>
        <v>88.89999902927003</v>
      </c>
      <c r="D180" s="10">
        <f t="shared" si="21"/>
        <v>9.707298924739792E-07</v>
      </c>
      <c r="E180" s="11">
        <f t="shared" si="22"/>
        <v>800.0999912634311</v>
      </c>
    </row>
    <row r="181" spans="1:5" ht="12.75">
      <c r="A181" s="9">
        <f t="shared" si="19"/>
        <v>175</v>
      </c>
      <c r="B181" s="10">
        <f>D180*$D$3/100-IF(Monetization!$Q$13=$A181,Monetization!$O$10*$D$3/100,0)</f>
        <v>9.707298924739793E-08</v>
      </c>
      <c r="C181" s="10">
        <f t="shared" si="20"/>
        <v>88.89999912634302</v>
      </c>
      <c r="D181" s="10">
        <f t="shared" si="21"/>
        <v>8.736569032265813E-07</v>
      </c>
      <c r="E181" s="11">
        <f t="shared" si="22"/>
        <v>800.099992137088</v>
      </c>
    </row>
    <row r="182" spans="1:5" ht="12.75">
      <c r="A182" s="9">
        <f t="shared" si="19"/>
        <v>176</v>
      </c>
      <c r="B182" s="10">
        <f>D181*$D$3/100-IF(Monetization!$Q$13=$A182,Monetization!$O$10*$D$3/100,0)</f>
        <v>8.736569032265813E-08</v>
      </c>
      <c r="C182" s="10">
        <f t="shared" si="20"/>
        <v>88.89999921370871</v>
      </c>
      <c r="D182" s="10">
        <f t="shared" si="21"/>
        <v>7.862912129039233E-07</v>
      </c>
      <c r="E182" s="11">
        <f t="shared" si="22"/>
        <v>800.0999929233792</v>
      </c>
    </row>
    <row r="183" spans="1:5" ht="12.75">
      <c r="A183" s="9">
        <f t="shared" si="19"/>
        <v>177</v>
      </c>
      <c r="B183" s="10">
        <f>D182*$D$3/100-IF(Monetization!$Q$13=$A183,Monetization!$O$10*$D$3/100,0)</f>
        <v>7.862912129039233E-08</v>
      </c>
      <c r="C183" s="10">
        <f t="shared" si="20"/>
        <v>88.89999929233784</v>
      </c>
      <c r="D183" s="10">
        <f t="shared" si="21"/>
        <v>7.07662091613531E-07</v>
      </c>
      <c r="E183" s="11">
        <f t="shared" si="22"/>
        <v>800.0999936310413</v>
      </c>
    </row>
    <row r="184" spans="1:5" ht="12.75">
      <c r="A184" s="9">
        <f t="shared" si="19"/>
        <v>178</v>
      </c>
      <c r="B184" s="10">
        <f>D183*$D$3/100-IF(Monetization!$Q$13=$A184,Monetization!$O$10*$D$3/100,0)</f>
        <v>7.076620916135311E-08</v>
      </c>
      <c r="C184" s="10">
        <f t="shared" si="20"/>
        <v>88.89999936310404</v>
      </c>
      <c r="D184" s="10">
        <f t="shared" si="21"/>
        <v>6.36895882452178E-07</v>
      </c>
      <c r="E184" s="11">
        <f t="shared" si="22"/>
        <v>800.0999942679372</v>
      </c>
    </row>
    <row r="185" spans="1:5" ht="12.75">
      <c r="A185" s="9">
        <f t="shared" si="19"/>
        <v>179</v>
      </c>
      <c r="B185" s="10">
        <f>D184*$D$3/100-IF(Monetization!$Q$13=$A185,Monetization!$O$10*$D$3/100,0)</f>
        <v>6.368958824521781E-08</v>
      </c>
      <c r="C185" s="10">
        <f t="shared" si="20"/>
        <v>88.89999942679363</v>
      </c>
      <c r="D185" s="10">
        <f t="shared" si="21"/>
        <v>5.732062942069603E-07</v>
      </c>
      <c r="E185" s="11">
        <f t="shared" si="22"/>
        <v>800.0999948411435</v>
      </c>
    </row>
    <row r="186" spans="1:5" ht="12.75">
      <c r="A186" s="9">
        <f t="shared" si="19"/>
        <v>180</v>
      </c>
      <c r="B186" s="10">
        <f>D185*$D$3/100-IF(Monetization!$Q$13=$A186,Monetization!$O$10*$D$3/100,0)</f>
        <v>5.7320629420696024E-08</v>
      </c>
      <c r="C186" s="10">
        <f t="shared" si="20"/>
        <v>88.89999948411426</v>
      </c>
      <c r="D186" s="10">
        <f t="shared" si="21"/>
        <v>5.158856647862643E-07</v>
      </c>
      <c r="E186" s="11">
        <f t="shared" si="22"/>
        <v>800.0999953570291</v>
      </c>
    </row>
    <row r="187" spans="1:5" ht="12.75">
      <c r="A187" s="9">
        <f t="shared" si="19"/>
        <v>181</v>
      </c>
      <c r="B187" s="10">
        <f>D186*$D$3/100-IF(Monetization!$Q$13=$A187,Monetization!$O$10*$D$3/100,0)</f>
        <v>5.158856647862643E-08</v>
      </c>
      <c r="C187" s="10">
        <f t="shared" si="20"/>
        <v>88.89999953570283</v>
      </c>
      <c r="D187" s="10">
        <f t="shared" si="21"/>
        <v>4.642970983076378E-07</v>
      </c>
      <c r="E187" s="11">
        <f t="shared" si="22"/>
        <v>800.0999958213262</v>
      </c>
    </row>
    <row r="188" spans="1:5" ht="12.75">
      <c r="A188" s="9">
        <f t="shared" si="19"/>
        <v>182</v>
      </c>
      <c r="B188" s="10">
        <f>D187*$D$3/100-IF(Monetization!$Q$13=$A188,Monetization!$O$10*$D$3/100,0)</f>
        <v>4.642970983076378E-08</v>
      </c>
      <c r="C188" s="10">
        <f t="shared" si="20"/>
        <v>88.89999958213254</v>
      </c>
      <c r="D188" s="10">
        <f t="shared" si="21"/>
        <v>4.17867388476874E-07</v>
      </c>
      <c r="E188" s="11">
        <f t="shared" si="22"/>
        <v>800.0999962391935</v>
      </c>
    </row>
    <row r="189" spans="1:5" ht="12.75">
      <c r="A189" s="9">
        <f t="shared" si="19"/>
        <v>183</v>
      </c>
      <c r="B189" s="10">
        <f>D188*$D$3/100-IF(Monetization!$Q$13=$A189,Monetization!$O$10*$D$3/100,0)</f>
        <v>4.17867388476874E-08</v>
      </c>
      <c r="C189" s="10">
        <f t="shared" si="20"/>
        <v>88.89999962391927</v>
      </c>
      <c r="D189" s="10">
        <f t="shared" si="21"/>
        <v>3.7608064962918654E-07</v>
      </c>
      <c r="E189" s="11">
        <f t="shared" si="22"/>
        <v>800.0999966152741</v>
      </c>
    </row>
    <row r="190" spans="1:5" ht="12.75">
      <c r="A190" s="9">
        <f t="shared" si="19"/>
        <v>184</v>
      </c>
      <c r="B190" s="10">
        <f>D189*$D$3/100-IF(Monetization!$Q$13=$A190,Monetization!$O$10*$D$3/100,0)</f>
        <v>3.760806496291866E-08</v>
      </c>
      <c r="C190" s="10">
        <f t="shared" si="20"/>
        <v>88.89999966152733</v>
      </c>
      <c r="D190" s="10">
        <f t="shared" si="21"/>
        <v>3.3847258466626795E-07</v>
      </c>
      <c r="E190" s="11">
        <f t="shared" si="22"/>
        <v>800.0999969537467</v>
      </c>
    </row>
    <row r="191" spans="1:5" ht="12.75">
      <c r="A191" s="9">
        <f t="shared" si="19"/>
        <v>185</v>
      </c>
      <c r="B191" s="10">
        <f>D190*$D$3/100-IF(Monetization!$Q$13=$A191,Monetization!$O$10*$D$3/100,0)</f>
        <v>3.384725846662679E-08</v>
      </c>
      <c r="C191" s="10">
        <f t="shared" si="20"/>
        <v>88.89999969537459</v>
      </c>
      <c r="D191" s="10">
        <f t="shared" si="21"/>
        <v>3.046253261996411E-07</v>
      </c>
      <c r="E191" s="11">
        <f t="shared" si="22"/>
        <v>800.099997258372</v>
      </c>
    </row>
    <row r="192" spans="1:5" ht="12.75">
      <c r="A192" s="9">
        <f t="shared" si="19"/>
        <v>186</v>
      </c>
      <c r="B192" s="10">
        <f>D191*$D$3/100-IF(Monetization!$Q$13=$A192,Monetization!$O$10*$D$3/100,0)</f>
        <v>3.046253261996411E-08</v>
      </c>
      <c r="C192" s="10">
        <f t="shared" si="20"/>
        <v>88.89999972583712</v>
      </c>
      <c r="D192" s="10">
        <f t="shared" si="21"/>
        <v>2.74162793579677E-07</v>
      </c>
      <c r="E192" s="11">
        <f t="shared" si="22"/>
        <v>800.0999975325348</v>
      </c>
    </row>
    <row r="193" spans="1:5" ht="12.75">
      <c r="A193" s="9">
        <f t="shared" si="19"/>
        <v>187</v>
      </c>
      <c r="B193" s="10">
        <f>D192*$D$3/100-IF(Monetization!$Q$13=$A193,Monetization!$O$10*$D$3/100,0)</f>
        <v>2.74162793579677E-08</v>
      </c>
      <c r="C193" s="10">
        <f t="shared" si="20"/>
        <v>88.8999997532534</v>
      </c>
      <c r="D193" s="10">
        <f t="shared" si="21"/>
        <v>2.467465142217093E-07</v>
      </c>
      <c r="E193" s="11">
        <f t="shared" si="22"/>
        <v>800.0999977792812</v>
      </c>
    </row>
    <row r="194" spans="1:5" ht="12.75">
      <c r="A194" s="9">
        <f t="shared" si="19"/>
        <v>188</v>
      </c>
      <c r="B194" s="10">
        <f>D193*$D$3/100-IF(Monetization!$Q$13=$A194,Monetization!$O$10*$D$3/100,0)</f>
        <v>2.4674651422170928E-08</v>
      </c>
      <c r="C194" s="10">
        <f t="shared" si="20"/>
        <v>88.89999977792804</v>
      </c>
      <c r="D194" s="10">
        <f t="shared" si="21"/>
        <v>2.220718627995384E-07</v>
      </c>
      <c r="E194" s="11">
        <f t="shared" si="22"/>
        <v>800.0999980013531</v>
      </c>
    </row>
    <row r="195" spans="1:5" ht="12.75">
      <c r="A195" s="9">
        <f t="shared" si="19"/>
        <v>189</v>
      </c>
      <c r="B195" s="10">
        <f>D194*$D$3/100-IF(Monetization!$Q$13=$A195,Monetization!$O$10*$D$3/100,0)</f>
        <v>2.2207186279953837E-08</v>
      </c>
      <c r="C195" s="10">
        <f t="shared" si="20"/>
        <v>88.89999980013523</v>
      </c>
      <c r="D195" s="10">
        <f t="shared" si="21"/>
        <v>1.9986467651958453E-07</v>
      </c>
      <c r="E195" s="11">
        <f t="shared" si="22"/>
        <v>800.0999982012178</v>
      </c>
    </row>
    <row r="196" spans="1:5" ht="12.75">
      <c r="A196" s="9">
        <f t="shared" si="19"/>
        <v>190</v>
      </c>
      <c r="B196" s="10">
        <f>D195*$D$3/100-IF(Monetization!$Q$13=$A196,Monetization!$O$10*$D$3/100,0)</f>
        <v>1.9986467651958455E-08</v>
      </c>
      <c r="C196" s="10">
        <f t="shared" si="20"/>
        <v>88.8999998201217</v>
      </c>
      <c r="D196" s="10">
        <f t="shared" si="21"/>
        <v>1.798782088676261E-07</v>
      </c>
      <c r="E196" s="11">
        <f t="shared" si="22"/>
        <v>800.0999983810959</v>
      </c>
    </row>
    <row r="197" spans="1:5" ht="12.75">
      <c r="A197" s="9">
        <f t="shared" si="19"/>
        <v>191</v>
      </c>
      <c r="B197" s="10">
        <f>D196*$D$3/100-IF(Monetization!$Q$13=$A197,Monetization!$O$10*$D$3/100,0)</f>
        <v>1.798782088676261E-08</v>
      </c>
      <c r="C197" s="10">
        <f t="shared" si="20"/>
        <v>88.89999983810952</v>
      </c>
      <c r="D197" s="10">
        <f t="shared" si="21"/>
        <v>1.618903879808635E-07</v>
      </c>
      <c r="E197" s="11">
        <f t="shared" si="22"/>
        <v>800.0999985429863</v>
      </c>
    </row>
    <row r="198" spans="1:5" ht="12.75">
      <c r="A198" s="9">
        <f t="shared" si="19"/>
        <v>192</v>
      </c>
      <c r="B198" s="10">
        <f>D197*$D$3/100-IF(Monetization!$Q$13=$A198,Monetization!$O$10*$D$3/100,0)</f>
        <v>1.618903879808635E-08</v>
      </c>
      <c r="C198" s="10">
        <f t="shared" si="20"/>
        <v>88.89999985429856</v>
      </c>
      <c r="D198" s="10">
        <f t="shared" si="21"/>
        <v>1.4570134918277715E-07</v>
      </c>
      <c r="E198" s="11">
        <f t="shared" si="22"/>
        <v>800.0999986886877</v>
      </c>
    </row>
    <row r="199" spans="1:5" ht="12.75">
      <c r="A199" s="9">
        <f t="shared" si="19"/>
        <v>193</v>
      </c>
      <c r="B199" s="10">
        <f>D198*$D$3/100-IF(Monetization!$Q$13=$A199,Monetization!$O$10*$D$3/100,0)</f>
        <v>1.4570134918277716E-08</v>
      </c>
      <c r="C199" s="10">
        <f t="shared" si="20"/>
        <v>88.89999986886869</v>
      </c>
      <c r="D199" s="10">
        <f t="shared" si="21"/>
        <v>1.3113121426449943E-07</v>
      </c>
      <c r="E199" s="11">
        <f t="shared" si="22"/>
        <v>800.0999988198189</v>
      </c>
    </row>
    <row r="200" spans="1:5" ht="12.75">
      <c r="A200" s="9">
        <f t="shared" si="19"/>
        <v>194</v>
      </c>
      <c r="B200" s="10">
        <f>D199*$D$3/100-IF(Monetization!$Q$13=$A200,Monetization!$O$10*$D$3/100,0)</f>
        <v>1.3113121426449943E-08</v>
      </c>
      <c r="C200" s="10">
        <f t="shared" si="20"/>
        <v>88.89999988198181</v>
      </c>
      <c r="D200" s="10">
        <f t="shared" si="21"/>
        <v>1.1801809283804948E-07</v>
      </c>
      <c r="E200" s="11">
        <f t="shared" si="22"/>
        <v>800.099998937837</v>
      </c>
    </row>
    <row r="201" spans="1:5" ht="12.75">
      <c r="A201" s="9">
        <f t="shared" si="19"/>
        <v>195</v>
      </c>
      <c r="B201" s="10">
        <f>D200*$D$3/100-IF(Monetization!$Q$13=$A201,Monetization!$O$10*$D$3/100,0)</f>
        <v>1.1801809283804948E-08</v>
      </c>
      <c r="C201" s="10">
        <f t="shared" si="20"/>
        <v>88.89999989378362</v>
      </c>
      <c r="D201" s="10">
        <f t="shared" si="21"/>
        <v>1.0621628355424452E-07</v>
      </c>
      <c r="E201" s="11">
        <f t="shared" si="22"/>
        <v>800.0999990440532</v>
      </c>
    </row>
    <row r="202" spans="1:5" ht="12.75">
      <c r="A202" s="9">
        <f t="shared" si="19"/>
        <v>196</v>
      </c>
      <c r="B202" s="10">
        <f>D201*$D$3/100-IF(Monetization!$Q$13=$A202,Monetization!$O$10*$D$3/100,0)</f>
        <v>1.0621628355424451E-08</v>
      </c>
      <c r="C202" s="10">
        <f t="shared" si="20"/>
        <v>88.89999990440525</v>
      </c>
      <c r="D202" s="10">
        <f t="shared" si="21"/>
        <v>9.559465519882006E-08</v>
      </c>
      <c r="E202" s="11">
        <f t="shared" si="22"/>
        <v>800.0999991396478</v>
      </c>
    </row>
    <row r="203" spans="1:5" ht="12.75">
      <c r="A203" s="9">
        <f t="shared" si="19"/>
        <v>197</v>
      </c>
      <c r="B203" s="10">
        <f>D202*$D$3/100-IF(Monetization!$Q$13=$A203,Monetization!$O$10*$D$3/100,0)</f>
        <v>9.559465519882005E-09</v>
      </c>
      <c r="C203" s="10">
        <f t="shared" si="20"/>
        <v>88.89999991396472</v>
      </c>
      <c r="D203" s="10">
        <f t="shared" si="21"/>
        <v>8.603518967893804E-08</v>
      </c>
      <c r="E203" s="11">
        <f t="shared" si="22"/>
        <v>800.0999992256831</v>
      </c>
    </row>
    <row r="204" spans="1:5" ht="12.75">
      <c r="A204" s="9">
        <f t="shared" si="19"/>
        <v>198</v>
      </c>
      <c r="B204" s="10">
        <f>D203*$D$3/100-IF(Monetization!$Q$13=$A204,Monetization!$O$10*$D$3/100,0)</f>
        <v>8.603518967893804E-09</v>
      </c>
      <c r="C204" s="10">
        <f t="shared" si="20"/>
        <v>88.89999992256824</v>
      </c>
      <c r="D204" s="10">
        <f t="shared" si="21"/>
        <v>7.743167071104424E-08</v>
      </c>
      <c r="E204" s="11">
        <f t="shared" si="22"/>
        <v>800.0999993031147</v>
      </c>
    </row>
    <row r="205" spans="1:5" ht="12.75">
      <c r="A205" s="9">
        <f t="shared" si="19"/>
        <v>199</v>
      </c>
      <c r="B205" s="10">
        <f>D204*$D$3/100-IF(Monetization!$Q$13=$A205,Monetization!$O$10*$D$3/100,0)</f>
        <v>7.743167071104424E-09</v>
      </c>
      <c r="C205" s="10">
        <f t="shared" si="20"/>
        <v>88.89999993031141</v>
      </c>
      <c r="D205" s="10">
        <f t="shared" si="21"/>
        <v>6.968850363993982E-08</v>
      </c>
      <c r="E205" s="11">
        <f t="shared" si="22"/>
        <v>800.0999993728033</v>
      </c>
    </row>
    <row r="206" spans="1:5" ht="12.75">
      <c r="A206" s="9">
        <f t="shared" si="19"/>
        <v>200</v>
      </c>
      <c r="B206" s="10">
        <f>D205*$D$3/100-IF(Monetization!$Q$13=$A206,Monetization!$O$10*$D$3/100,0)</f>
        <v>6.9688503639939815E-09</v>
      </c>
      <c r="C206" s="10">
        <f t="shared" si="20"/>
        <v>88.89999993728026</v>
      </c>
      <c r="D206" s="10">
        <f t="shared" si="21"/>
        <v>6.271965327594583E-08</v>
      </c>
      <c r="E206" s="11">
        <f t="shared" si="22"/>
        <v>800.0999994355229</v>
      </c>
    </row>
  </sheetData>
  <sheetProtection password="C52A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showRowColHeaders="0" tabSelected="1" workbookViewId="0" topLeftCell="A1">
      <selection activeCell="Y1" sqref="Y1:AM57"/>
    </sheetView>
  </sheetViews>
  <sheetFormatPr defaultColWidth="9.140625" defaultRowHeight="12.75"/>
  <cols>
    <col min="1" max="1" width="17.8515625" style="3" customWidth="1"/>
    <col min="2" max="2" width="3.140625" style="3" customWidth="1"/>
    <col min="3" max="3" width="7.8515625" style="3" customWidth="1"/>
    <col min="4" max="4" width="11.7109375" style="3" customWidth="1"/>
    <col min="5" max="5" width="9.7109375" style="3" customWidth="1"/>
    <col min="6" max="6" width="9.140625" style="3" customWidth="1"/>
    <col min="7" max="7" width="10.8515625" style="3" customWidth="1"/>
    <col min="8" max="8" width="5.421875" style="3" customWidth="1"/>
    <col min="9" max="9" width="13.57421875" style="3" customWidth="1"/>
    <col min="10" max="10" width="4.140625" style="3" customWidth="1"/>
    <col min="11" max="11" width="10.00390625" style="3" customWidth="1"/>
    <col min="12" max="13" width="9.140625" style="3" customWidth="1"/>
    <col min="14" max="14" width="9.8515625" style="3" customWidth="1"/>
    <col min="15" max="15" width="9.140625" style="3" customWidth="1"/>
    <col min="16" max="16" width="8.140625" style="3" customWidth="1"/>
    <col min="17" max="17" width="9.140625" style="3" customWidth="1"/>
    <col min="18" max="18" width="11.421875" style="3" customWidth="1"/>
    <col min="19" max="19" width="5.28125" style="3" customWidth="1"/>
    <col min="20" max="20" width="9.140625" style="3" customWidth="1"/>
    <col min="21" max="21" width="3.57421875" style="3" customWidth="1"/>
    <col min="22" max="16384" width="9.140625" style="3" customWidth="1"/>
  </cols>
  <sheetData>
    <row r="1" spans="1:39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5.75" customHeight="1">
      <c r="A2" s="139" t="s">
        <v>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5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ht="12.75">
      <c r="A5" s="12"/>
      <c r="B5" s="12"/>
      <c r="C5" s="12"/>
      <c r="D5" s="12"/>
      <c r="E5" s="12"/>
      <c r="F5" s="12"/>
      <c r="G5" s="12"/>
      <c r="H5" s="12"/>
      <c r="I5" s="12"/>
      <c r="J5" s="172">
        <f>IF(O10&lt;0,"",IF(O10=0,"","$$$ Withdrawn - Reduces"))</f>
      </c>
      <c r="K5" s="93"/>
      <c r="L5" s="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12.75" customHeight="1">
      <c r="A6" s="12"/>
      <c r="B6" s="12"/>
      <c r="C6" s="12"/>
      <c r="D6" s="12"/>
      <c r="E6" s="12"/>
      <c r="F6" s="12"/>
      <c r="G6" s="12"/>
      <c r="H6" s="12"/>
      <c r="I6" s="187"/>
      <c r="J6" s="93"/>
      <c r="K6" s="93"/>
      <c r="L6" s="93"/>
      <c r="M6" s="166" t="s">
        <v>18</v>
      </c>
      <c r="N6" s="166"/>
      <c r="O6" s="168" t="str">
        <f>IF(O10&gt;0,"T-Bills"," ")</f>
        <v> </v>
      </c>
      <c r="P6" s="169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2.75" customHeight="1" thickBot="1">
      <c r="A7" s="12"/>
      <c r="B7" s="12"/>
      <c r="C7" s="12"/>
      <c r="D7" s="13"/>
      <c r="E7" s="12"/>
      <c r="F7" s="210"/>
      <c r="G7" s="211"/>
      <c r="H7" s="211"/>
      <c r="I7" s="134"/>
      <c r="J7" s="173"/>
      <c r="K7" s="173"/>
      <c r="L7" s="173"/>
      <c r="M7" s="166"/>
      <c r="N7" s="166"/>
      <c r="O7" s="169"/>
      <c r="P7" s="169"/>
      <c r="Q7" s="156" t="s">
        <v>20</v>
      </c>
      <c r="R7" s="15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46.5" customHeight="1" thickTop="1">
      <c r="A8" s="12"/>
      <c r="B8" s="13"/>
      <c r="C8" s="23" t="s">
        <v>16</v>
      </c>
      <c r="D8" s="1">
        <v>200</v>
      </c>
      <c r="E8" s="61"/>
      <c r="F8" s="211"/>
      <c r="G8" s="211"/>
      <c r="H8" s="211"/>
      <c r="I8" s="62"/>
      <c r="J8" s="174">
        <f>IF(O10&lt;0,"",IF(O10=0,"","Reserves &amp; Credit"))</f>
      </c>
      <c r="K8" s="175"/>
      <c r="L8" s="175"/>
      <c r="M8" s="166"/>
      <c r="N8" s="166"/>
      <c r="O8" s="43" t="str">
        <f>IF(O10&lt;0,"$$$"," ")</f>
        <v> </v>
      </c>
      <c r="P8" s="63"/>
      <c r="Q8" s="158"/>
      <c r="R8" s="159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5" customHeight="1">
      <c r="A9" s="12"/>
      <c r="B9" s="12"/>
      <c r="C9" s="23" t="s">
        <v>25</v>
      </c>
      <c r="D9" s="2">
        <v>10</v>
      </c>
      <c r="E9" s="12"/>
      <c r="F9" s="176" t="str">
        <f>IF(D8=1,"Initial Deposit","No Deposit")</f>
        <v>No Deposit</v>
      </c>
      <c r="G9" s="177"/>
      <c r="H9" s="219"/>
      <c r="I9" s="155">
        <f>IF(O10&gt;0,"",IF(O10=0,"","Deposit $$$ - Increases"))</f>
      </c>
      <c r="J9" s="134"/>
      <c r="K9" s="93"/>
      <c r="L9" s="93"/>
      <c r="M9" s="49"/>
      <c r="N9" s="49"/>
      <c r="O9" s="64"/>
      <c r="P9" s="22"/>
      <c r="Q9" s="158"/>
      <c r="R9" s="15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8.75" customHeight="1">
      <c r="A10" s="12"/>
      <c r="B10" s="12"/>
      <c r="C10" s="23" t="s">
        <v>44</v>
      </c>
      <c r="D10" s="42">
        <v>88.9</v>
      </c>
      <c r="E10" s="12"/>
      <c r="F10" s="178">
        <f>IF(D8=1,D10,0)</f>
        <v>0</v>
      </c>
      <c r="G10" s="178"/>
      <c r="H10" s="220"/>
      <c r="I10" s="155">
        <f>IF(O10&gt;0,"",IF(O10=0,"","Reserves and Credit"))</f>
      </c>
      <c r="J10" s="134"/>
      <c r="K10" s="134"/>
      <c r="L10" s="201" t="s">
        <v>33</v>
      </c>
      <c r="M10" s="202"/>
      <c r="N10" s="202"/>
      <c r="O10" s="167">
        <v>0</v>
      </c>
      <c r="P10" s="167"/>
      <c r="Q10" s="94" t="str">
        <f>IF(O10&gt;0,"U.S. T-Bills SOLD on",IF(O10&lt;0,"U.S. T-Bills BOUGHT on","No Activity by the FED"))</f>
        <v>No Activity by the FED</v>
      </c>
      <c r="R10" s="95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6.5" customHeight="1">
      <c r="A11" s="205" t="s">
        <v>45</v>
      </c>
      <c r="B11" s="206"/>
      <c r="C11" s="206"/>
      <c r="D11" s="206"/>
      <c r="E11" s="12"/>
      <c r="F11" s="14"/>
      <c r="G11" s="18"/>
      <c r="H11" s="220"/>
      <c r="I11" s="149" t="s">
        <v>28</v>
      </c>
      <c r="J11" s="12"/>
      <c r="K11" s="12"/>
      <c r="L11" s="12"/>
      <c r="M11" s="153" t="s">
        <v>34</v>
      </c>
      <c r="N11" s="153"/>
      <c r="O11" s="44"/>
      <c r="P11" s="12"/>
      <c r="Q11" s="96"/>
      <c r="R11" s="95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24" thickBot="1">
      <c r="A12" s="154" t="s">
        <v>35</v>
      </c>
      <c r="B12" s="154"/>
      <c r="C12" s="154"/>
      <c r="D12" s="154"/>
      <c r="E12" s="12"/>
      <c r="F12" s="14"/>
      <c r="G12" s="18"/>
      <c r="H12" s="220"/>
      <c r="I12" s="150"/>
      <c r="J12" s="12"/>
      <c r="K12" s="12"/>
      <c r="L12" s="12"/>
      <c r="M12" s="78"/>
      <c r="N12" s="78"/>
      <c r="O12" s="170" t="str">
        <f>IF(O10&gt;0,"$$$"," ")</f>
        <v> </v>
      </c>
      <c r="P12" s="65"/>
      <c r="Q12" s="97" t="str">
        <f>IF(O10=0,"on Cycle #","Cycle #")</f>
        <v>on Cycle #</v>
      </c>
      <c r="R12" s="8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14.25" thickBot="1" thickTop="1">
      <c r="A13" s="12"/>
      <c r="B13" s="12"/>
      <c r="C13" s="12"/>
      <c r="D13" s="12"/>
      <c r="E13" s="12"/>
      <c r="F13" s="221" t="s">
        <v>27</v>
      </c>
      <c r="G13" s="221"/>
      <c r="H13" s="66"/>
      <c r="I13" s="150"/>
      <c r="J13" s="20"/>
      <c r="K13" s="215" t="s">
        <v>29</v>
      </c>
      <c r="L13" s="216"/>
      <c r="M13" s="143" t="s">
        <v>17</v>
      </c>
      <c r="N13" s="144"/>
      <c r="O13" s="171"/>
      <c r="P13" s="113"/>
      <c r="Q13" s="82">
        <v>1</v>
      </c>
      <c r="R13" s="98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22.5" customHeight="1" thickTop="1">
      <c r="A14" s="12"/>
      <c r="B14" s="12"/>
      <c r="C14" s="14"/>
      <c r="D14" s="37"/>
      <c r="E14" s="15"/>
      <c r="F14" s="221"/>
      <c r="G14" s="221"/>
      <c r="H14" s="15"/>
      <c r="I14" s="150"/>
      <c r="J14" s="12"/>
      <c r="K14" s="217"/>
      <c r="L14" s="218"/>
      <c r="M14" s="145"/>
      <c r="N14" s="146"/>
      <c r="O14" s="115" t="str">
        <f>IF(O10&lt;0,"T-Bills"," ")</f>
        <v> </v>
      </c>
      <c r="P14" s="114"/>
      <c r="Q14" s="99"/>
      <c r="R14" s="100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6.5" customHeight="1" thickBot="1">
      <c r="A15" s="22"/>
      <c r="B15" s="22"/>
      <c r="C15" s="21"/>
      <c r="D15" s="38" t="s">
        <v>15</v>
      </c>
      <c r="E15" s="51"/>
      <c r="F15" s="16"/>
      <c r="G15" s="17"/>
      <c r="H15" s="12"/>
      <c r="I15" s="150"/>
      <c r="J15" s="12"/>
      <c r="K15" s="203">
        <f>VLOOKUP($D$8,'Fractional Lending'!A7:E206,3)</f>
        <v>88.89999993728026</v>
      </c>
      <c r="L15" s="204"/>
      <c r="M15" s="147"/>
      <c r="N15" s="148"/>
      <c r="O15" s="116"/>
      <c r="P15" s="6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12.75" customHeight="1" thickTop="1">
      <c r="A16" s="12"/>
      <c r="B16" s="12"/>
      <c r="C16" s="212">
        <f>IF(D8=1,0,VLOOKUP($D$8-IF(D8=1,0,1),'Fractional Lending'!A7:E206,5))</f>
        <v>800.0999993728033</v>
      </c>
      <c r="D16" s="212"/>
      <c r="E16" s="213" t="s">
        <v>19</v>
      </c>
      <c r="F16" s="214"/>
      <c r="G16" s="214"/>
      <c r="H16" s="214"/>
      <c r="I16" s="12"/>
      <c r="J16" s="12"/>
      <c r="K16" s="12"/>
      <c r="L16" s="12"/>
      <c r="M16" s="3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20.25">
      <c r="A17" s="50"/>
      <c r="B17" s="12"/>
      <c r="C17" s="14"/>
      <c r="D17" s="151" t="s">
        <v>13</v>
      </c>
      <c r="E17" s="151"/>
      <c r="F17" s="152">
        <f>VLOOKUP($D$8,'Fractional Lending'!A7:E206,5)</f>
        <v>800.0999994355229</v>
      </c>
      <c r="G17" s="152"/>
      <c r="H17" s="12"/>
      <c r="I17" s="12"/>
      <c r="J17" s="12"/>
      <c r="K17" s="12"/>
      <c r="L17" s="164" t="str">
        <f>IF(N18&gt;0,"T-Bills"," ")</f>
        <v> </v>
      </c>
      <c r="M17" s="165"/>
      <c r="N17" s="31"/>
      <c r="O17" s="79"/>
      <c r="P17" s="120" t="str">
        <f>IF(N18=0," ","Monetization")</f>
        <v> </v>
      </c>
      <c r="Q17" s="120"/>
      <c r="R17" s="121"/>
      <c r="S17" s="12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21" customHeight="1">
      <c r="A18" s="57"/>
      <c r="B18" s="12"/>
      <c r="C18" s="14"/>
      <c r="D18" s="151"/>
      <c r="E18" s="151"/>
      <c r="F18" s="14"/>
      <c r="G18" s="18"/>
      <c r="H18" s="12"/>
      <c r="I18" s="19"/>
      <c r="J18" s="12"/>
      <c r="K18" s="12"/>
      <c r="L18" s="12"/>
      <c r="M18" s="14"/>
      <c r="N18" s="59">
        <v>0</v>
      </c>
      <c r="O18" s="128" t="str">
        <f>IF(N18&gt;0,"(Money is Created)","No Monetization")</f>
        <v>No Monetization</v>
      </c>
      <c r="P18" s="129"/>
      <c r="Q18" s="129"/>
      <c r="R18" s="129"/>
      <c r="S18" s="14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8.75" customHeight="1" thickBot="1">
      <c r="A19" s="57"/>
      <c r="B19" s="12"/>
      <c r="C19" s="14"/>
      <c r="D19" s="12"/>
      <c r="E19" s="52"/>
      <c r="F19" s="184" t="s">
        <v>9</v>
      </c>
      <c r="G19" s="184"/>
      <c r="H19" s="14"/>
      <c r="I19" s="50" t="s">
        <v>11</v>
      </c>
      <c r="J19" s="12"/>
      <c r="K19" s="27"/>
      <c r="L19" s="28"/>
      <c r="M19" s="29"/>
      <c r="N19" s="29"/>
      <c r="O19" s="80"/>
      <c r="P19" s="123"/>
      <c r="Q19" s="123"/>
      <c r="R19" s="81"/>
      <c r="S19" s="68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16.5" thickBot="1" thickTop="1">
      <c r="A20" s="58"/>
      <c r="B20" s="12"/>
      <c r="C20" s="14"/>
      <c r="D20" s="12"/>
      <c r="E20" s="14"/>
      <c r="F20" s="184"/>
      <c r="G20" s="184"/>
      <c r="H20" s="53"/>
      <c r="I20" s="207" t="s">
        <v>31</v>
      </c>
      <c r="J20" s="14"/>
      <c r="K20" s="12"/>
      <c r="L20" s="12"/>
      <c r="M20" s="195" t="s">
        <v>22</v>
      </c>
      <c r="N20" s="196"/>
      <c r="O20" s="162" t="str">
        <f>IF(ISNUMBER(P23)=TRUE,"T-Bills"," ")</f>
        <v>T-Bills</v>
      </c>
      <c r="P20" s="163"/>
      <c r="Q20" s="107" t="s">
        <v>23</v>
      </c>
      <c r="R20" s="108"/>
      <c r="S20" s="69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9.5" thickBot="1" thickTop="1">
      <c r="A21" s="57"/>
      <c r="B21" s="12"/>
      <c r="C21" s="14"/>
      <c r="D21" s="12"/>
      <c r="E21" s="14"/>
      <c r="F21" s="16"/>
      <c r="G21" s="17"/>
      <c r="H21" s="14"/>
      <c r="I21" s="208"/>
      <c r="J21" s="14"/>
      <c r="K21" s="12"/>
      <c r="L21" s="70"/>
      <c r="M21" s="197"/>
      <c r="N21" s="198"/>
      <c r="O21" s="71"/>
      <c r="P21" s="72"/>
      <c r="Q21" s="109"/>
      <c r="R21" s="110"/>
      <c r="S21" s="69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19.5" thickBot="1" thickTop="1">
      <c r="A22" s="57"/>
      <c r="B22" s="188">
        <f>D8+1</f>
        <v>201</v>
      </c>
      <c r="C22" s="189"/>
      <c r="D22" s="189"/>
      <c r="E22" s="189"/>
      <c r="F22" s="222" t="s">
        <v>10</v>
      </c>
      <c r="G22" s="222"/>
      <c r="H22" s="14"/>
      <c r="I22" s="208"/>
      <c r="J22" s="14"/>
      <c r="K22" s="185" t="s">
        <v>42</v>
      </c>
      <c r="L22" s="186"/>
      <c r="M22" s="199"/>
      <c r="N22" s="200"/>
      <c r="O22" s="73" t="str">
        <f>IF(K24=M26," ","$$$")</f>
        <v>$$$</v>
      </c>
      <c r="P22" s="74"/>
      <c r="Q22" s="111"/>
      <c r="R22" s="112"/>
      <c r="S22" s="69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21.75" thickBot="1" thickTop="1">
      <c r="A23" s="57"/>
      <c r="B23" s="141">
        <f>VLOOKUP($D$8,'Fractional Lending'!A7:E206,4)</f>
        <v>6.271965327594583E-08</v>
      </c>
      <c r="C23" s="142"/>
      <c r="D23" s="142"/>
      <c r="E23" s="12"/>
      <c r="F23" s="152">
        <f>F17</f>
        <v>800.0999994355229</v>
      </c>
      <c r="G23" s="152"/>
      <c r="H23" s="14"/>
      <c r="I23" s="208"/>
      <c r="J23" s="14"/>
      <c r="K23" s="12"/>
      <c r="L23" s="35"/>
      <c r="M23" s="12"/>
      <c r="N23" s="32"/>
      <c r="O23" s="12"/>
      <c r="P23" s="60">
        <f>IF(K24=M26," ",M33-N18)</f>
        <v>1400</v>
      </c>
      <c r="Q23" s="75"/>
      <c r="R23" s="12"/>
      <c r="S23" s="69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18.75" thickTop="1">
      <c r="A24" s="12"/>
      <c r="B24" s="133"/>
      <c r="C24" s="140"/>
      <c r="D24" s="39"/>
      <c r="E24" s="14"/>
      <c r="F24" s="14"/>
      <c r="G24" s="18"/>
      <c r="H24" s="14"/>
      <c r="I24" s="208"/>
      <c r="J24" s="14"/>
      <c r="K24" s="179">
        <v>2100</v>
      </c>
      <c r="L24" s="180"/>
      <c r="M24" s="160" t="s">
        <v>43</v>
      </c>
      <c r="N24" s="161"/>
      <c r="O24" s="12"/>
      <c r="P24" s="12"/>
      <c r="Q24" s="12"/>
      <c r="R24" s="12"/>
      <c r="S24" s="69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3.5" thickBot="1">
      <c r="A25" s="12"/>
      <c r="B25" s="133"/>
      <c r="C25" s="140"/>
      <c r="D25" s="40"/>
      <c r="E25" s="41"/>
      <c r="F25" s="183" t="s">
        <v>12</v>
      </c>
      <c r="G25" s="183"/>
      <c r="H25" s="14"/>
      <c r="I25" s="208"/>
      <c r="J25" s="14"/>
      <c r="K25" s="12"/>
      <c r="L25" s="36"/>
      <c r="M25" s="12"/>
      <c r="N25" s="33"/>
      <c r="O25" s="12">
        <v>2</v>
      </c>
      <c r="P25" s="12"/>
      <c r="Q25" s="14"/>
      <c r="R25" s="14"/>
      <c r="S25" s="12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ht="15.75" customHeight="1" thickTop="1">
      <c r="A26" s="12"/>
      <c r="B26" s="12"/>
      <c r="C26" s="12"/>
      <c r="D26" s="12"/>
      <c r="E26" s="12"/>
      <c r="F26" s="183"/>
      <c r="G26" s="183"/>
      <c r="H26" s="14"/>
      <c r="I26" s="54"/>
      <c r="J26" s="14"/>
      <c r="K26" s="85" t="s">
        <v>21</v>
      </c>
      <c r="L26" s="86"/>
      <c r="M26" s="181">
        <v>3500</v>
      </c>
      <c r="N26" s="182"/>
      <c r="O26" s="101" t="s">
        <v>24</v>
      </c>
      <c r="P26" s="102"/>
      <c r="Q26" s="14"/>
      <c r="R26" s="14"/>
      <c r="S26" s="124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8.75" thickBot="1">
      <c r="A27" s="12"/>
      <c r="B27" s="12"/>
      <c r="C27" s="12"/>
      <c r="D27" s="12"/>
      <c r="E27" s="12"/>
      <c r="F27" s="12"/>
      <c r="G27" s="12"/>
      <c r="H27" s="14"/>
      <c r="I27" s="55"/>
      <c r="J27" s="56"/>
      <c r="K27" s="87"/>
      <c r="L27" s="86"/>
      <c r="M27" s="76"/>
      <c r="N27" s="34"/>
      <c r="O27" s="103"/>
      <c r="P27" s="104"/>
      <c r="Q27" s="125" t="str">
        <f>IF(N18&gt;0,"Account Credited,","No Inflation")</f>
        <v>No Inflation</v>
      </c>
      <c r="R27" s="126"/>
      <c r="S27" s="127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ht="18.75" thickTop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87"/>
      <c r="L28" s="86"/>
      <c r="M28" s="76"/>
      <c r="N28" s="12"/>
      <c r="O28" s="103"/>
      <c r="P28" s="104"/>
      <c r="Q28" s="125" t="str">
        <f>IF(N18&gt;0,"Money Supply"," ")</f>
        <v> </v>
      </c>
      <c r="R28" s="126"/>
      <c r="S28" s="127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3.5" customHeight="1" thickBot="1">
      <c r="A29" s="12"/>
      <c r="B29" s="12"/>
      <c r="C29" s="194" t="s">
        <v>38</v>
      </c>
      <c r="D29" s="134"/>
      <c r="E29" s="134"/>
      <c r="F29" s="192">
        <f>900/800*('Fractional Lending'!E206+O10*(100/D9-1))</f>
        <v>900.1124993649632</v>
      </c>
      <c r="G29" s="193"/>
      <c r="H29" s="12"/>
      <c r="I29" s="12"/>
      <c r="J29" s="12"/>
      <c r="K29" s="88"/>
      <c r="L29" s="89"/>
      <c r="M29" s="77"/>
      <c r="N29" s="12"/>
      <c r="O29" s="105"/>
      <c r="P29" s="106"/>
      <c r="Q29" s="117" t="str">
        <f>IF(N18&gt;0,"Inflated"," ")</f>
        <v> </v>
      </c>
      <c r="R29" s="118"/>
      <c r="S29" s="118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ht="13.5" customHeight="1" thickTop="1">
      <c r="A30" s="12"/>
      <c r="B30" s="12"/>
      <c r="C30" s="134"/>
      <c r="D30" s="134"/>
      <c r="E30" s="134"/>
      <c r="F30" s="193"/>
      <c r="G30" s="193"/>
      <c r="H30" s="12"/>
      <c r="I30" s="12"/>
      <c r="J30" s="12"/>
      <c r="K30" s="12"/>
      <c r="L30" s="45"/>
      <c r="M30" s="14"/>
      <c r="N30" s="14"/>
      <c r="O30" s="47"/>
      <c r="P30" s="12"/>
      <c r="Q30" s="130" t="str">
        <f>IF(N18&gt;0,"by"," ")</f>
        <v> </v>
      </c>
      <c r="R30" s="131"/>
      <c r="S30" s="13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3.5" customHeight="1" thickBot="1">
      <c r="A31" s="92" t="s">
        <v>39</v>
      </c>
      <c r="B31" s="93"/>
      <c r="C31" s="93"/>
      <c r="D31" s="93"/>
      <c r="E31" s="93"/>
      <c r="F31" s="90">
        <f>F29+K15</f>
        <v>989.0124993022434</v>
      </c>
      <c r="G31" s="91"/>
      <c r="H31" s="12"/>
      <c r="I31" s="12"/>
      <c r="J31" s="12"/>
      <c r="K31" s="12"/>
      <c r="L31" s="46"/>
      <c r="M31" s="190" t="s">
        <v>26</v>
      </c>
      <c r="N31" s="191"/>
      <c r="O31" s="48"/>
      <c r="P31" s="12"/>
      <c r="Q31" s="132" t="str">
        <f>IF(N18&gt;0,N18/F34*100," ")</f>
        <v> </v>
      </c>
      <c r="R31" s="118"/>
      <c r="S31" s="118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13.5" customHeight="1" thickTop="1">
      <c r="A32" s="93"/>
      <c r="B32" s="93"/>
      <c r="C32" s="93"/>
      <c r="D32" s="93"/>
      <c r="E32" s="93"/>
      <c r="F32" s="91"/>
      <c r="G32" s="91"/>
      <c r="H32" s="12"/>
      <c r="I32" s="12"/>
      <c r="J32" s="12"/>
      <c r="K32" s="12"/>
      <c r="L32" s="12"/>
      <c r="M32" s="191"/>
      <c r="N32" s="191"/>
      <c r="O32" s="12"/>
      <c r="P32" s="12"/>
      <c r="Q32" s="118"/>
      <c r="R32" s="118"/>
      <c r="S32" s="118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21.75" customHeight="1">
      <c r="A33" s="92" t="s">
        <v>40</v>
      </c>
      <c r="B33" s="93"/>
      <c r="C33" s="93"/>
      <c r="D33" s="93"/>
      <c r="E33" s="93"/>
      <c r="F33" s="90">
        <f>F29+VLOOKUP($D$8,'Fractional Lending'!A7:E206,5)+N18</f>
        <v>1700.2124988004862</v>
      </c>
      <c r="G33" s="91"/>
      <c r="H33" s="12"/>
      <c r="I33" s="12"/>
      <c r="J33" s="12"/>
      <c r="K33" s="12"/>
      <c r="L33" s="12"/>
      <c r="M33" s="84">
        <f>M26-K24</f>
        <v>1400</v>
      </c>
      <c r="N33" s="84"/>
      <c r="O33" s="12"/>
      <c r="P33" s="12"/>
      <c r="Q33" s="119" t="s">
        <v>32</v>
      </c>
      <c r="R33" s="119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ht="20.25">
      <c r="A34" s="92" t="s">
        <v>41</v>
      </c>
      <c r="B34" s="134"/>
      <c r="C34" s="134"/>
      <c r="D34" s="134"/>
      <c r="E34" s="134"/>
      <c r="F34" s="90">
        <f>F33+F33/1700.2*6900</f>
        <v>8600.263223258404</v>
      </c>
      <c r="G34" s="91"/>
      <c r="H34" s="138" t="s">
        <v>37</v>
      </c>
      <c r="I34" s="93"/>
      <c r="J34" s="93"/>
      <c r="K34" s="93"/>
      <c r="L34" s="93"/>
      <c r="M34" s="12"/>
      <c r="N34" s="12"/>
      <c r="O34" s="12"/>
      <c r="P34" s="12"/>
      <c r="Q34" s="136" t="s">
        <v>30</v>
      </c>
      <c r="R34" s="137"/>
      <c r="S34" s="13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2.75">
      <c r="A35" s="12"/>
      <c r="B35" s="12"/>
      <c r="C35" s="12"/>
      <c r="D35" s="135"/>
      <c r="E35" s="135"/>
      <c r="F35" s="12"/>
      <c r="G35" s="12"/>
      <c r="H35" s="12"/>
      <c r="I35" s="12"/>
      <c r="J35" s="209"/>
      <c r="K35" s="209"/>
      <c r="L35" s="209"/>
      <c r="M35" s="209"/>
      <c r="N35" s="12"/>
      <c r="O35" s="12"/>
      <c r="P35" s="12"/>
      <c r="Q35" s="119"/>
      <c r="R35" s="133"/>
      <c r="S35" s="133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</sheetData>
  <sheetProtection password="C52A" sheet="1" objects="1" scenarios="1"/>
  <mergeCells count="77">
    <mergeCell ref="A11:D11"/>
    <mergeCell ref="I20:I25"/>
    <mergeCell ref="J35:M35"/>
    <mergeCell ref="F7:H8"/>
    <mergeCell ref="C16:D16"/>
    <mergeCell ref="E16:H16"/>
    <mergeCell ref="K13:L14"/>
    <mergeCell ref="H9:H12"/>
    <mergeCell ref="F13:G14"/>
    <mergeCell ref="F22:G22"/>
    <mergeCell ref="I6:I7"/>
    <mergeCell ref="B22:E22"/>
    <mergeCell ref="M31:N32"/>
    <mergeCell ref="F33:G33"/>
    <mergeCell ref="F29:G30"/>
    <mergeCell ref="C29:E30"/>
    <mergeCell ref="I10:K10"/>
    <mergeCell ref="M20:N22"/>
    <mergeCell ref="L10:N10"/>
    <mergeCell ref="K15:L15"/>
    <mergeCell ref="F9:G9"/>
    <mergeCell ref="F10:G10"/>
    <mergeCell ref="K24:L24"/>
    <mergeCell ref="M26:N26"/>
    <mergeCell ref="F23:G23"/>
    <mergeCell ref="F25:G26"/>
    <mergeCell ref="F19:G20"/>
    <mergeCell ref="K22:L22"/>
    <mergeCell ref="Q7:R9"/>
    <mergeCell ref="M24:N24"/>
    <mergeCell ref="O20:P20"/>
    <mergeCell ref="L17:M17"/>
    <mergeCell ref="M6:N8"/>
    <mergeCell ref="O10:P10"/>
    <mergeCell ref="O6:P7"/>
    <mergeCell ref="O12:O13"/>
    <mergeCell ref="J5:L7"/>
    <mergeCell ref="J8:L8"/>
    <mergeCell ref="A2:S3"/>
    <mergeCell ref="B24:C25"/>
    <mergeCell ref="B23:D23"/>
    <mergeCell ref="M13:N15"/>
    <mergeCell ref="I11:I15"/>
    <mergeCell ref="D17:E18"/>
    <mergeCell ref="F17:G17"/>
    <mergeCell ref="M11:N11"/>
    <mergeCell ref="A12:D12"/>
    <mergeCell ref="I9:L9"/>
    <mergeCell ref="Q35:S35"/>
    <mergeCell ref="A34:E34"/>
    <mergeCell ref="F34:G34"/>
    <mergeCell ref="D35:E35"/>
    <mergeCell ref="Q34:S34"/>
    <mergeCell ref="H34:L34"/>
    <mergeCell ref="Q33:R33"/>
    <mergeCell ref="P17:Q17"/>
    <mergeCell ref="R17:S17"/>
    <mergeCell ref="P19:Q19"/>
    <mergeCell ref="S25:S26"/>
    <mergeCell ref="Q28:S28"/>
    <mergeCell ref="Q27:S27"/>
    <mergeCell ref="O18:R18"/>
    <mergeCell ref="Q30:S30"/>
    <mergeCell ref="Q31:S32"/>
    <mergeCell ref="Q10:R11"/>
    <mergeCell ref="Q12:R12"/>
    <mergeCell ref="Q13:R14"/>
    <mergeCell ref="O26:P29"/>
    <mergeCell ref="Q20:R22"/>
    <mergeCell ref="P13:P14"/>
    <mergeCell ref="O14:O15"/>
    <mergeCell ref="Q29:S29"/>
    <mergeCell ref="M33:N33"/>
    <mergeCell ref="K26:L29"/>
    <mergeCell ref="F31:G32"/>
    <mergeCell ref="A33:E33"/>
    <mergeCell ref="A31:E3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Arbogast</dc:creator>
  <cp:keywords/>
  <dc:description/>
  <cp:lastModifiedBy>Fred Arbogast</cp:lastModifiedBy>
  <dcterms:created xsi:type="dcterms:W3CDTF">2010-10-28T17:28:19Z</dcterms:created>
  <dcterms:modified xsi:type="dcterms:W3CDTF">2013-02-26T15:56:52Z</dcterms:modified>
  <cp:category/>
  <cp:version/>
  <cp:contentType/>
  <cp:contentStatus/>
</cp:coreProperties>
</file>